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Y3100\Downloads\attachments\"/>
    </mc:Choice>
  </mc:AlternateContent>
  <bookViews>
    <workbookView xWindow="0" yWindow="0" windowWidth="28800" windowHeight="12255" tabRatio="845" firstSheet="1" activeTab="1"/>
  </bookViews>
  <sheets>
    <sheet name="使用說明" sheetId="34" r:id="rId1"/>
    <sheet name="菜單名稱" sheetId="35" r:id="rId2"/>
    <sheet name="1" sheetId="8" r:id="rId3"/>
    <sheet name="2" sheetId="12" r:id="rId4"/>
    <sheet name="3" sheetId="15" r:id="rId5"/>
    <sheet name="4" sheetId="13" r:id="rId6"/>
    <sheet name="5" sheetId="38" r:id="rId7"/>
    <sheet name="6" sheetId="16" r:id="rId8"/>
    <sheet name="7" sheetId="17" r:id="rId9"/>
    <sheet name="8" sheetId="6" r:id="rId10"/>
    <sheet name="9" sheetId="40" r:id="rId11"/>
    <sheet name="10" sheetId="19" r:id="rId12"/>
    <sheet name="11" sheetId="10" r:id="rId13"/>
    <sheet name="12" sheetId="20" r:id="rId14"/>
    <sheet name="13" sheetId="22" r:id="rId15"/>
    <sheet name="14" sheetId="21" r:id="rId16"/>
    <sheet name="15" sheetId="23" r:id="rId17"/>
    <sheet name="16" sheetId="24" r:id="rId18"/>
    <sheet name="17" sheetId="9" r:id="rId19"/>
    <sheet name="18" sheetId="5" r:id="rId20"/>
    <sheet name="19" sheetId="25" r:id="rId21"/>
    <sheet name="20" sheetId="26" r:id="rId22"/>
    <sheet name="21" sheetId="11" r:id="rId23"/>
    <sheet name="22" sheetId="27" r:id="rId24"/>
    <sheet name="23" sheetId="28" r:id="rId25"/>
    <sheet name="24" sheetId="29" r:id="rId26"/>
    <sheet name="25" sheetId="30" r:id="rId27"/>
    <sheet name="26" sheetId="4" r:id="rId28"/>
    <sheet name="27" sheetId="44" r:id="rId29"/>
    <sheet name="28" sheetId="33" r:id="rId30"/>
    <sheet name="29" sheetId="3" r:id="rId31"/>
    <sheet name="30" sheetId="32" r:id="rId32"/>
  </sheets>
  <definedNames>
    <definedName name="_xlnm.Print_Area" localSheetId="2">'1'!$A$1:$K$36</definedName>
    <definedName name="_xlnm.Print_Area" localSheetId="11">'10'!$A$1:$E$28</definedName>
    <definedName name="_xlnm.Print_Area" localSheetId="12">'11'!$A$1:$E$30</definedName>
    <definedName name="_xlnm.Print_Area" localSheetId="13">'12'!$A$1:$D$29</definedName>
    <definedName name="_xlnm.Print_Area" localSheetId="14">'13'!$A$1:$E$28</definedName>
    <definedName name="_xlnm.Print_Area" localSheetId="15">'14'!$A$1:$E$26</definedName>
    <definedName name="_xlnm.Print_Area" localSheetId="16">'15'!$A$1:$E$32</definedName>
    <definedName name="_xlnm.Print_Area" localSheetId="17">'16'!$A$1:$E$27</definedName>
    <definedName name="_xlnm.Print_Area" localSheetId="18">'17'!$A$1:$E$23</definedName>
    <definedName name="_xlnm.Print_Area" localSheetId="19">'18'!$A$1:$E$29</definedName>
    <definedName name="_xlnm.Print_Area" localSheetId="20">'19'!$A$1:$E$36</definedName>
    <definedName name="_xlnm.Print_Area" localSheetId="3">'2'!$A$1:$E$26</definedName>
    <definedName name="_xlnm.Print_Area" localSheetId="21">'20'!$A$1:$E$31</definedName>
    <definedName name="_xlnm.Print_Area" localSheetId="22">'21'!$A$1:$E$38</definedName>
    <definedName name="_xlnm.Print_Area" localSheetId="23">'22'!$A$1:$E$32</definedName>
    <definedName name="_xlnm.Print_Area" localSheetId="24">'23'!$A$1:$E$23</definedName>
    <definedName name="_xlnm.Print_Area" localSheetId="25">'24'!$A$1:$E$31</definedName>
    <definedName name="_xlnm.Print_Area" localSheetId="26">'25'!$A$1:$E$29</definedName>
    <definedName name="_xlnm.Print_Area" localSheetId="27">'26'!$A$1:$E$42</definedName>
    <definedName name="_xlnm.Print_Area" localSheetId="28">'27'!$A$1:$E$28</definedName>
    <definedName name="_xlnm.Print_Area" localSheetId="29">'28'!$A$1:$E$27</definedName>
    <definedName name="_xlnm.Print_Area" localSheetId="30">'29'!$A$1:$E$25</definedName>
    <definedName name="_xlnm.Print_Area" localSheetId="4">'3'!$A$1:$E$26</definedName>
    <definedName name="_xlnm.Print_Area" localSheetId="31">'30'!$A$1:$E$27</definedName>
    <definedName name="_xlnm.Print_Area" localSheetId="5">'4'!$A$1:$E$33</definedName>
    <definedName name="_xlnm.Print_Area" localSheetId="6">'5'!$A$1:$E$35</definedName>
    <definedName name="_xlnm.Print_Area" localSheetId="7">'6'!$A$1:$E$33</definedName>
    <definedName name="_xlnm.Print_Area" localSheetId="8">'7'!$A$1:$E$33</definedName>
    <definedName name="_xlnm.Print_Area" localSheetId="9">'8'!$A$1:$E$20</definedName>
    <definedName name="_xlnm.Print_Area" localSheetId="10">'9'!$A$1:$E$35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32" l="1"/>
  <c r="I28" i="32"/>
  <c r="H28" i="32"/>
  <c r="E28" i="32"/>
  <c r="J29" i="33"/>
  <c r="I29" i="33"/>
  <c r="H29" i="33"/>
  <c r="E29" i="33"/>
  <c r="J32" i="26"/>
  <c r="I32" i="26"/>
  <c r="H32" i="26"/>
  <c r="G7" i="25"/>
  <c r="I7" i="25" s="1"/>
  <c r="E7" i="25"/>
  <c r="I8" i="25"/>
  <c r="K8" i="25" s="1"/>
  <c r="E8" i="25"/>
  <c r="K37" i="25"/>
  <c r="E37" i="25"/>
  <c r="I7" i="5"/>
  <c r="K7" i="5" s="1"/>
  <c r="E7" i="5"/>
  <c r="J31" i="5"/>
  <c r="I31" i="5"/>
  <c r="H31" i="5"/>
  <c r="J33" i="10"/>
  <c r="I33" i="10"/>
  <c r="H33" i="10"/>
  <c r="I5" i="19"/>
  <c r="K5" i="19" s="1"/>
  <c r="E5" i="19"/>
  <c r="J25" i="19"/>
  <c r="I25" i="19"/>
  <c r="H25" i="19"/>
  <c r="K25" i="19" s="1"/>
  <c r="I34" i="13"/>
  <c r="K34" i="13" s="1"/>
  <c r="I40" i="8"/>
  <c r="K40" i="8" s="1"/>
  <c r="K33" i="10" l="1"/>
  <c r="K31" i="5"/>
  <c r="K28" i="32"/>
  <c r="K29" i="33"/>
  <c r="K32" i="26"/>
  <c r="K7" i="25"/>
  <c r="H7" i="25"/>
  <c r="G21" i="32"/>
  <c r="H21" i="32" s="1"/>
  <c r="I27" i="32"/>
  <c r="K27" i="32" s="1"/>
  <c r="E27" i="32"/>
  <c r="G26" i="32"/>
  <c r="I26" i="32" s="1"/>
  <c r="E26" i="32"/>
  <c r="E25" i="32"/>
  <c r="G24" i="32"/>
  <c r="J24" i="32"/>
  <c r="H24" i="32"/>
  <c r="I24" i="32"/>
  <c r="J23" i="32"/>
  <c r="G23" i="32"/>
  <c r="I23" i="32" s="1"/>
  <c r="G22" i="32"/>
  <c r="I22" i="32" s="1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G17" i="32"/>
  <c r="G15" i="32"/>
  <c r="G13" i="32"/>
  <c r="G10" i="32"/>
  <c r="G4" i="32"/>
  <c r="H4" i="32" s="1"/>
  <c r="G3" i="32"/>
  <c r="K3" i="32"/>
  <c r="G8" i="32"/>
  <c r="J8" i="32" s="1"/>
  <c r="H8" i="32"/>
  <c r="J7" i="32"/>
  <c r="G7" i="32"/>
  <c r="I7" i="32" s="1"/>
  <c r="J6" i="32"/>
  <c r="G6" i="32"/>
  <c r="H6" i="32" s="1"/>
  <c r="J5" i="32"/>
  <c r="G5" i="32"/>
  <c r="I5" i="32" s="1"/>
  <c r="K5" i="32" s="1"/>
  <c r="G12" i="32"/>
  <c r="I12" i="32" s="1"/>
  <c r="E3" i="32"/>
  <c r="H10" i="3"/>
  <c r="G10" i="3"/>
  <c r="I10" i="3" s="1"/>
  <c r="E10" i="3"/>
  <c r="E3" i="3"/>
  <c r="I4" i="3"/>
  <c r="K4" i="3" s="1"/>
  <c r="G3" i="3"/>
  <c r="J3" i="3" s="1"/>
  <c r="K3" i="3" s="1"/>
  <c r="J25" i="3"/>
  <c r="I25" i="3"/>
  <c r="H25" i="3"/>
  <c r="E25" i="3"/>
  <c r="I23" i="3"/>
  <c r="K23" i="3" s="1"/>
  <c r="G22" i="3"/>
  <c r="I22" i="3" s="1"/>
  <c r="K24" i="3"/>
  <c r="G21" i="3"/>
  <c r="I21" i="3"/>
  <c r="E21" i="3"/>
  <c r="E22" i="3"/>
  <c r="E23" i="3"/>
  <c r="E24" i="3"/>
  <c r="J20" i="3"/>
  <c r="G20" i="3"/>
  <c r="I20" i="3" s="1"/>
  <c r="G17" i="3"/>
  <c r="I17" i="3" s="1"/>
  <c r="K17" i="3" s="1"/>
  <c r="J19" i="3"/>
  <c r="G19" i="3"/>
  <c r="I19" i="3"/>
  <c r="J18" i="3"/>
  <c r="G18" i="3"/>
  <c r="I18" i="3" s="1"/>
  <c r="E17" i="3"/>
  <c r="E18" i="3"/>
  <c r="E19" i="3"/>
  <c r="E20" i="3"/>
  <c r="G13" i="3"/>
  <c r="J13" i="3" s="1"/>
  <c r="G14" i="3"/>
  <c r="J14" i="3" s="1"/>
  <c r="K14" i="3" s="1"/>
  <c r="H14" i="3"/>
  <c r="I14" i="3"/>
  <c r="H16" i="3"/>
  <c r="G16" i="3"/>
  <c r="I16" i="3"/>
  <c r="J15" i="3"/>
  <c r="G15" i="3"/>
  <c r="H15" i="3" s="1"/>
  <c r="J12" i="3"/>
  <c r="G12" i="3"/>
  <c r="H12" i="3" s="1"/>
  <c r="K12" i="3" s="1"/>
  <c r="I12" i="3"/>
  <c r="J11" i="3"/>
  <c r="G11" i="3"/>
  <c r="H11" i="3"/>
  <c r="I11" i="3"/>
  <c r="K11" i="3"/>
  <c r="K9" i="3"/>
  <c r="G8" i="3"/>
  <c r="J8" i="3" s="1"/>
  <c r="I8" i="3"/>
  <c r="G7" i="3"/>
  <c r="J7" i="3"/>
  <c r="G6" i="3"/>
  <c r="H6" i="3" s="1"/>
  <c r="K6" i="3" s="1"/>
  <c r="E4" i="3"/>
  <c r="E6" i="3"/>
  <c r="E7" i="3"/>
  <c r="E8" i="3"/>
  <c r="E9" i="3"/>
  <c r="E11" i="3"/>
  <c r="E12" i="3"/>
  <c r="E13" i="3"/>
  <c r="E14" i="3"/>
  <c r="E15" i="3"/>
  <c r="E16" i="3"/>
  <c r="G27" i="33"/>
  <c r="I27" i="33" s="1"/>
  <c r="K27" i="33" s="1"/>
  <c r="G26" i="33"/>
  <c r="I26" i="33"/>
  <c r="G25" i="33"/>
  <c r="H25" i="33" s="1"/>
  <c r="G28" i="33"/>
  <c r="I28" i="33" s="1"/>
  <c r="E28" i="33"/>
  <c r="G17" i="10"/>
  <c r="G29" i="10"/>
  <c r="J29" i="10" s="1"/>
  <c r="G30" i="10"/>
  <c r="E29" i="10"/>
  <c r="E28" i="10"/>
  <c r="E27" i="33"/>
  <c r="E26" i="33"/>
  <c r="E25" i="33"/>
  <c r="J8" i="33"/>
  <c r="G3" i="33"/>
  <c r="H3" i="33" s="1"/>
  <c r="G24" i="33"/>
  <c r="J24" i="33"/>
  <c r="G10" i="33"/>
  <c r="J10" i="33" s="1"/>
  <c r="G12" i="33"/>
  <c r="G9" i="33"/>
  <c r="H9" i="33" s="1"/>
  <c r="G11" i="33"/>
  <c r="H11" i="33" s="1"/>
  <c r="G15" i="33"/>
  <c r="J23" i="33"/>
  <c r="G23" i="33"/>
  <c r="J22" i="33"/>
  <c r="G22" i="33"/>
  <c r="H22" i="33" s="1"/>
  <c r="I22" i="33"/>
  <c r="J21" i="33"/>
  <c r="G21" i="33"/>
  <c r="I21" i="33" s="1"/>
  <c r="J19" i="33"/>
  <c r="G19" i="33"/>
  <c r="I19" i="33" s="1"/>
  <c r="J17" i="33"/>
  <c r="G17" i="33"/>
  <c r="I17" i="33" s="1"/>
  <c r="J16" i="33"/>
  <c r="G16" i="33"/>
  <c r="I16" i="33" s="1"/>
  <c r="J13" i="33"/>
  <c r="G13" i="33"/>
  <c r="H13" i="33" s="1"/>
  <c r="G7" i="33"/>
  <c r="I7" i="33" s="1"/>
  <c r="H20" i="33"/>
  <c r="G20" i="33"/>
  <c r="G18" i="33"/>
  <c r="J18" i="33" s="1"/>
  <c r="K18" i="33" s="1"/>
  <c r="H14" i="33"/>
  <c r="G14" i="33"/>
  <c r="I14" i="33" s="1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3" i="33"/>
  <c r="J28" i="44"/>
  <c r="I28" i="44"/>
  <c r="H28" i="44"/>
  <c r="I27" i="44"/>
  <c r="K27" i="44"/>
  <c r="K24" i="44"/>
  <c r="K25" i="44"/>
  <c r="K26" i="44"/>
  <c r="G23" i="44"/>
  <c r="I23" i="44" s="1"/>
  <c r="E4" i="44"/>
  <c r="E5" i="44"/>
  <c r="E6" i="44"/>
  <c r="E7" i="44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7" i="44"/>
  <c r="E3" i="44"/>
  <c r="G19" i="44"/>
  <c r="J10" i="44"/>
  <c r="G10" i="44"/>
  <c r="I10" i="44"/>
  <c r="J9" i="44"/>
  <c r="G9" i="44"/>
  <c r="J8" i="44"/>
  <c r="G8" i="44"/>
  <c r="I8" i="44"/>
  <c r="I16" i="44"/>
  <c r="G15" i="44"/>
  <c r="G6" i="44"/>
  <c r="H6" i="44" s="1"/>
  <c r="G7" i="44"/>
  <c r="G12" i="44"/>
  <c r="G13" i="44"/>
  <c r="H13" i="44" s="1"/>
  <c r="H14" i="44"/>
  <c r="G14" i="44"/>
  <c r="I14" i="44"/>
  <c r="K14" i="44" s="1"/>
  <c r="G3" i="44"/>
  <c r="H3" i="44"/>
  <c r="J5" i="44"/>
  <c r="I5" i="44"/>
  <c r="K5" i="44" s="1"/>
  <c r="H5" i="44"/>
  <c r="J4" i="44"/>
  <c r="K4" i="44" s="1"/>
  <c r="I4" i="44"/>
  <c r="H4" i="44"/>
  <c r="H18" i="44"/>
  <c r="G18" i="44"/>
  <c r="J16" i="44"/>
  <c r="K16" i="44" s="1"/>
  <c r="H16" i="44"/>
  <c r="J15" i="44"/>
  <c r="H11" i="44"/>
  <c r="G11" i="44"/>
  <c r="G5" i="4"/>
  <c r="G29" i="4"/>
  <c r="I29" i="4"/>
  <c r="G36" i="4"/>
  <c r="I36" i="4"/>
  <c r="K36" i="4" s="1"/>
  <c r="G41" i="4"/>
  <c r="J41" i="4"/>
  <c r="G39" i="4"/>
  <c r="G24" i="28"/>
  <c r="I24" i="28" s="1"/>
  <c r="G37" i="4"/>
  <c r="G35" i="4"/>
  <c r="G34" i="4"/>
  <c r="G21" i="4"/>
  <c r="G14" i="4"/>
  <c r="G3" i="4"/>
  <c r="G9" i="4"/>
  <c r="G15" i="4"/>
  <c r="G16" i="4"/>
  <c r="G17" i="4"/>
  <c r="G26" i="4"/>
  <c r="G30" i="4"/>
  <c r="H30" i="4"/>
  <c r="K30" i="4" s="1"/>
  <c r="J30" i="4"/>
  <c r="E41" i="4"/>
  <c r="E42" i="4"/>
  <c r="G42" i="4"/>
  <c r="I42" i="4" s="1"/>
  <c r="K42" i="4"/>
  <c r="G40" i="4"/>
  <c r="J40" i="4"/>
  <c r="I40" i="4"/>
  <c r="E40" i="4"/>
  <c r="K39" i="4"/>
  <c r="I38" i="4"/>
  <c r="K38" i="4" s="1"/>
  <c r="H36" i="4"/>
  <c r="E5" i="4"/>
  <c r="E6" i="4"/>
  <c r="E7" i="4"/>
  <c r="E8" i="4"/>
  <c r="E9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3" i="4"/>
  <c r="G20" i="30"/>
  <c r="H20" i="30" s="1"/>
  <c r="K20" i="30" s="1"/>
  <c r="E20" i="30"/>
  <c r="G23" i="30"/>
  <c r="G22" i="30"/>
  <c r="G12" i="30"/>
  <c r="H12" i="30"/>
  <c r="E12" i="30"/>
  <c r="J30" i="30"/>
  <c r="I30" i="30"/>
  <c r="H30" i="30"/>
  <c r="G4" i="30"/>
  <c r="J4" i="30"/>
  <c r="H4" i="30"/>
  <c r="I4" i="30"/>
  <c r="K4" i="30" s="1"/>
  <c r="J27" i="30"/>
  <c r="G27" i="30"/>
  <c r="H27" i="30" s="1"/>
  <c r="J24" i="30"/>
  <c r="G24" i="30"/>
  <c r="I24" i="30" s="1"/>
  <c r="H24" i="30"/>
  <c r="K24" i="30" s="1"/>
  <c r="G18" i="30"/>
  <c r="H18" i="30"/>
  <c r="G16" i="30"/>
  <c r="H16" i="30"/>
  <c r="G11" i="30"/>
  <c r="H11" i="30"/>
  <c r="K11" i="30" s="1"/>
  <c r="G5" i="30"/>
  <c r="E5" i="30"/>
  <c r="E6" i="30"/>
  <c r="E7" i="30"/>
  <c r="E8" i="30"/>
  <c r="E9" i="30"/>
  <c r="E11" i="30"/>
  <c r="E13" i="30"/>
  <c r="E14" i="30"/>
  <c r="E15" i="30"/>
  <c r="E16" i="30"/>
  <c r="E17" i="30"/>
  <c r="E18" i="30"/>
  <c r="E19" i="30"/>
  <c r="E21" i="30"/>
  <c r="E22" i="30"/>
  <c r="E23" i="30"/>
  <c r="E24" i="30"/>
  <c r="E25" i="30"/>
  <c r="E26" i="30"/>
  <c r="E27" i="30"/>
  <c r="E28" i="30"/>
  <c r="E29" i="30"/>
  <c r="E4" i="30"/>
  <c r="K21" i="30"/>
  <c r="K19" i="30"/>
  <c r="J18" i="30"/>
  <c r="H17" i="30"/>
  <c r="K17" i="30" s="1"/>
  <c r="G17" i="30"/>
  <c r="I17" i="30"/>
  <c r="J16" i="30"/>
  <c r="K15" i="30"/>
  <c r="H14" i="30"/>
  <c r="G14" i="30"/>
  <c r="K13" i="30"/>
  <c r="J11" i="30"/>
  <c r="K10" i="30"/>
  <c r="G9" i="30"/>
  <c r="H9" i="30"/>
  <c r="K9" i="30" s="1"/>
  <c r="K8" i="30"/>
  <c r="G7" i="30"/>
  <c r="G6" i="30"/>
  <c r="I6" i="30" s="1"/>
  <c r="G27" i="29"/>
  <c r="H11" i="29"/>
  <c r="K11" i="29" s="1"/>
  <c r="G11" i="29"/>
  <c r="I11" i="29"/>
  <c r="E11" i="29"/>
  <c r="G30" i="29"/>
  <c r="I31" i="29"/>
  <c r="K31" i="29"/>
  <c r="E31" i="29"/>
  <c r="J32" i="29"/>
  <c r="I32" i="29"/>
  <c r="H32" i="29"/>
  <c r="K32" i="29" s="1"/>
  <c r="G28" i="29"/>
  <c r="G26" i="29"/>
  <c r="H26" i="29" s="1"/>
  <c r="G25" i="29"/>
  <c r="G22" i="29"/>
  <c r="J22" i="29"/>
  <c r="G18" i="29"/>
  <c r="I18" i="29" s="1"/>
  <c r="H18" i="29"/>
  <c r="J18" i="29"/>
  <c r="G19" i="29"/>
  <c r="I19" i="29" s="1"/>
  <c r="J19" i="29"/>
  <c r="K19" i="29" s="1"/>
  <c r="J17" i="29"/>
  <c r="G17" i="29"/>
  <c r="I17" i="29" s="1"/>
  <c r="J16" i="29"/>
  <c r="G16" i="29"/>
  <c r="I16" i="29"/>
  <c r="J15" i="29"/>
  <c r="G15" i="29"/>
  <c r="J14" i="29"/>
  <c r="G14" i="29"/>
  <c r="I14" i="29"/>
  <c r="J13" i="29"/>
  <c r="G13" i="29"/>
  <c r="G5" i="29"/>
  <c r="G4" i="29"/>
  <c r="E4" i="29"/>
  <c r="E5" i="29"/>
  <c r="E6" i="29"/>
  <c r="E7" i="29"/>
  <c r="E8" i="29"/>
  <c r="E9" i="29"/>
  <c r="E10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" i="29"/>
  <c r="J24" i="29"/>
  <c r="G24" i="29"/>
  <c r="I24" i="29" s="1"/>
  <c r="K24" i="29" s="1"/>
  <c r="H23" i="29"/>
  <c r="G23" i="29"/>
  <c r="I23" i="29"/>
  <c r="J21" i="29"/>
  <c r="G21" i="29"/>
  <c r="H21" i="29" s="1"/>
  <c r="K21" i="29" s="1"/>
  <c r="H20" i="29"/>
  <c r="K20" i="29" s="1"/>
  <c r="G20" i="29"/>
  <c r="I20" i="29"/>
  <c r="J12" i="29"/>
  <c r="H12" i="29"/>
  <c r="J9" i="29"/>
  <c r="H9" i="29"/>
  <c r="K9" i="29" s="1"/>
  <c r="I8" i="29"/>
  <c r="H8" i="29"/>
  <c r="G6" i="29"/>
  <c r="H6" i="29"/>
  <c r="G22" i="28"/>
  <c r="H22" i="28"/>
  <c r="K22" i="28" s="1"/>
  <c r="J26" i="28"/>
  <c r="I26" i="28"/>
  <c r="K26" i="28" s="1"/>
  <c r="H26" i="28"/>
  <c r="E14" i="28"/>
  <c r="E15" i="28"/>
  <c r="G15" i="28"/>
  <c r="J15" i="28" s="1"/>
  <c r="K15" i="28" s="1"/>
  <c r="G14" i="28"/>
  <c r="I14" i="28"/>
  <c r="G21" i="28"/>
  <c r="J21" i="28"/>
  <c r="K21" i="28" s="1"/>
  <c r="G16" i="28"/>
  <c r="H16" i="28"/>
  <c r="G12" i="28"/>
  <c r="H12" i="28"/>
  <c r="G10" i="28"/>
  <c r="I10" i="28"/>
  <c r="K10" i="28" s="1"/>
  <c r="G6" i="28"/>
  <c r="E19" i="28"/>
  <c r="E20" i="28"/>
  <c r="E22" i="28"/>
  <c r="E23" i="28"/>
  <c r="J23" i="28"/>
  <c r="G23" i="28"/>
  <c r="I23" i="28"/>
  <c r="E21" i="28"/>
  <c r="J20" i="28"/>
  <c r="G20" i="28"/>
  <c r="I20" i="28"/>
  <c r="G19" i="28"/>
  <c r="J19" i="28"/>
  <c r="K19" i="28" s="1"/>
  <c r="E16" i="28"/>
  <c r="E17" i="28"/>
  <c r="E18" i="28"/>
  <c r="J18" i="28"/>
  <c r="G18" i="28"/>
  <c r="J17" i="28"/>
  <c r="G17" i="28"/>
  <c r="I17" i="28"/>
  <c r="E5" i="28"/>
  <c r="E6" i="28"/>
  <c r="E7" i="28"/>
  <c r="E8" i="28"/>
  <c r="E9" i="28"/>
  <c r="E10" i="28"/>
  <c r="E11" i="28"/>
  <c r="E12" i="28"/>
  <c r="E13" i="28"/>
  <c r="E4" i="28"/>
  <c r="J13" i="28"/>
  <c r="G13" i="28"/>
  <c r="J11" i="28"/>
  <c r="G11" i="28"/>
  <c r="I11" i="28"/>
  <c r="J10" i="28"/>
  <c r="J9" i="28"/>
  <c r="G9" i="28"/>
  <c r="I9" i="28"/>
  <c r="K8" i="28"/>
  <c r="K7" i="28"/>
  <c r="I6" i="28"/>
  <c r="H6" i="28"/>
  <c r="K6" i="28" s="1"/>
  <c r="G4" i="28"/>
  <c r="G22" i="27"/>
  <c r="H22" i="27"/>
  <c r="G28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G13" i="27"/>
  <c r="H13" i="27" s="1"/>
  <c r="K13" i="27" s="1"/>
  <c r="G27" i="27"/>
  <c r="G30" i="27"/>
  <c r="G29" i="27"/>
  <c r="I29" i="27" s="1"/>
  <c r="K29" i="27" s="1"/>
  <c r="G5" i="27"/>
  <c r="I31" i="27"/>
  <c r="K31" i="27"/>
  <c r="J32" i="27"/>
  <c r="I32" i="27"/>
  <c r="H32" i="27"/>
  <c r="J38" i="11"/>
  <c r="I38" i="11"/>
  <c r="H38" i="11"/>
  <c r="J25" i="28"/>
  <c r="I25" i="28"/>
  <c r="H25" i="28"/>
  <c r="H24" i="28"/>
  <c r="E24" i="28"/>
  <c r="H26" i="27"/>
  <c r="K26" i="27" s="1"/>
  <c r="G26" i="27"/>
  <c r="I26" i="27"/>
  <c r="J24" i="27"/>
  <c r="G24" i="27"/>
  <c r="H23" i="27"/>
  <c r="G23" i="27"/>
  <c r="I23" i="27"/>
  <c r="J18" i="27"/>
  <c r="G18" i="27"/>
  <c r="H17" i="27"/>
  <c r="G17" i="27"/>
  <c r="I17" i="27" s="1"/>
  <c r="G9" i="27"/>
  <c r="I4" i="27"/>
  <c r="K4" i="27"/>
  <c r="G8" i="27"/>
  <c r="J8" i="27"/>
  <c r="G7" i="27"/>
  <c r="E5" i="27"/>
  <c r="E7" i="27"/>
  <c r="E8" i="27"/>
  <c r="E9" i="27"/>
  <c r="E10" i="27"/>
  <c r="E11" i="27"/>
  <c r="E4" i="27"/>
  <c r="G3" i="11"/>
  <c r="G5" i="11"/>
  <c r="G4" i="11"/>
  <c r="H4" i="11" s="1"/>
  <c r="J4" i="11"/>
  <c r="G14" i="11"/>
  <c r="H14" i="11"/>
  <c r="G16" i="11"/>
  <c r="I16" i="11"/>
  <c r="K16" i="11" s="1"/>
  <c r="G37" i="11"/>
  <c r="I37" i="11"/>
  <c r="E37" i="11"/>
  <c r="E33" i="11"/>
  <c r="E34" i="11"/>
  <c r="E35" i="11"/>
  <c r="E36" i="11"/>
  <c r="J34" i="11"/>
  <c r="I34" i="11"/>
  <c r="H34" i="11"/>
  <c r="J33" i="11"/>
  <c r="G33" i="11"/>
  <c r="K15" i="11"/>
  <c r="G31" i="11"/>
  <c r="H31" i="11"/>
  <c r="K31" i="11" s="1"/>
  <c r="G30" i="11"/>
  <c r="H30" i="11"/>
  <c r="K30" i="11" s="1"/>
  <c r="G29" i="11"/>
  <c r="H29" i="11"/>
  <c r="G28" i="11"/>
  <c r="H28" i="11"/>
  <c r="K28" i="11" s="1"/>
  <c r="E27" i="11"/>
  <c r="E28" i="11"/>
  <c r="E29" i="11"/>
  <c r="E30" i="11"/>
  <c r="E31" i="11"/>
  <c r="E32" i="11"/>
  <c r="G27" i="11"/>
  <c r="H27" i="11"/>
  <c r="K27" i="11" s="1"/>
  <c r="G25" i="11"/>
  <c r="I25" i="11"/>
  <c r="E22" i="11"/>
  <c r="E23" i="11"/>
  <c r="E24" i="11"/>
  <c r="E25" i="11"/>
  <c r="E26" i="11"/>
  <c r="G22" i="11"/>
  <c r="H22" i="11" s="1"/>
  <c r="K22" i="11" s="1"/>
  <c r="G21" i="11"/>
  <c r="G20" i="11"/>
  <c r="G19" i="11"/>
  <c r="H19" i="11" s="1"/>
  <c r="K19" i="11" s="1"/>
  <c r="E19" i="11"/>
  <c r="E20" i="11"/>
  <c r="E21" i="11"/>
  <c r="G23" i="11"/>
  <c r="H23" i="11"/>
  <c r="G17" i="11"/>
  <c r="I17" i="11"/>
  <c r="G10" i="11"/>
  <c r="E4" i="11"/>
  <c r="E5" i="11"/>
  <c r="E6" i="11"/>
  <c r="E7" i="11"/>
  <c r="E8" i="11"/>
  <c r="E9" i="11"/>
  <c r="E10" i="11"/>
  <c r="E11" i="11"/>
  <c r="E12" i="11"/>
  <c r="E13" i="11"/>
  <c r="E14" i="11"/>
  <c r="E16" i="11"/>
  <c r="E17" i="11"/>
  <c r="E18" i="11"/>
  <c r="E3" i="11"/>
  <c r="G18" i="11"/>
  <c r="J18" i="11"/>
  <c r="K18" i="11" s="1"/>
  <c r="I13" i="11"/>
  <c r="H13" i="11"/>
  <c r="I6" i="26"/>
  <c r="G15" i="26"/>
  <c r="H15" i="26" s="1"/>
  <c r="H14" i="26"/>
  <c r="G14" i="26"/>
  <c r="I14" i="26"/>
  <c r="E14" i="26"/>
  <c r="G10" i="26"/>
  <c r="H10" i="26" s="1"/>
  <c r="G3" i="26"/>
  <c r="G5" i="26"/>
  <c r="E19" i="26"/>
  <c r="E20" i="26"/>
  <c r="E21" i="26"/>
  <c r="E22" i="26"/>
  <c r="E23" i="26"/>
  <c r="E24" i="26"/>
  <c r="J23" i="26"/>
  <c r="H23" i="26"/>
  <c r="J22" i="26"/>
  <c r="G22" i="26"/>
  <c r="H22" i="26" s="1"/>
  <c r="K22" i="26" s="1"/>
  <c r="H21" i="26"/>
  <c r="G21" i="26"/>
  <c r="I21" i="26" s="1"/>
  <c r="J20" i="26"/>
  <c r="G20" i="26"/>
  <c r="H20" i="26" s="1"/>
  <c r="J19" i="26"/>
  <c r="G19" i="26"/>
  <c r="I19" i="26" s="1"/>
  <c r="E15" i="26"/>
  <c r="E16" i="26"/>
  <c r="E17" i="26"/>
  <c r="E18" i="26"/>
  <c r="H18" i="26"/>
  <c r="G18" i="26"/>
  <c r="I18" i="26"/>
  <c r="J16" i="26"/>
  <c r="G16" i="26"/>
  <c r="J15" i="26"/>
  <c r="E13" i="26"/>
  <c r="E12" i="26"/>
  <c r="E11" i="26"/>
  <c r="E10" i="26"/>
  <c r="E9" i="26"/>
  <c r="E8" i="26"/>
  <c r="E7" i="26"/>
  <c r="E6" i="26"/>
  <c r="E4" i="26"/>
  <c r="E3" i="26"/>
  <c r="K11" i="26"/>
  <c r="J9" i="26"/>
  <c r="H9" i="26"/>
  <c r="G21" i="25"/>
  <c r="H21" i="25" s="1"/>
  <c r="E29" i="25"/>
  <c r="H29" i="25"/>
  <c r="I29" i="25"/>
  <c r="J29" i="25"/>
  <c r="G19" i="25"/>
  <c r="H19" i="25" s="1"/>
  <c r="J19" i="25"/>
  <c r="H22" i="25"/>
  <c r="G22" i="25"/>
  <c r="I22" i="25" s="1"/>
  <c r="E22" i="25"/>
  <c r="E21" i="25"/>
  <c r="K20" i="25"/>
  <c r="E20" i="25"/>
  <c r="E19" i="25"/>
  <c r="E22" i="21"/>
  <c r="K22" i="21"/>
  <c r="I26" i="21"/>
  <c r="K26" i="21"/>
  <c r="K25" i="21"/>
  <c r="J24" i="21"/>
  <c r="I24" i="21"/>
  <c r="H24" i="21"/>
  <c r="K24" i="21" s="1"/>
  <c r="J31" i="23"/>
  <c r="H31" i="23"/>
  <c r="E31" i="23"/>
  <c r="I30" i="23"/>
  <c r="K30" i="23" s="1"/>
  <c r="E30" i="23"/>
  <c r="G29" i="23"/>
  <c r="I29" i="23"/>
  <c r="E29" i="23"/>
  <c r="G28" i="23"/>
  <c r="H28" i="23" s="1"/>
  <c r="E28" i="23"/>
  <c r="G8" i="23"/>
  <c r="G7" i="23"/>
  <c r="G23" i="25"/>
  <c r="H23" i="25" s="1"/>
  <c r="G12" i="25"/>
  <c r="E23" i="25"/>
  <c r="E24" i="25"/>
  <c r="E25" i="25"/>
  <c r="E26" i="25"/>
  <c r="E27" i="25"/>
  <c r="E28" i="25"/>
  <c r="E30" i="25"/>
  <c r="E31" i="25"/>
  <c r="K31" i="25"/>
  <c r="K30" i="25"/>
  <c r="K28" i="25"/>
  <c r="K27" i="25"/>
  <c r="K26" i="25"/>
  <c r="H25" i="25"/>
  <c r="G25" i="25"/>
  <c r="J25" i="25" s="1"/>
  <c r="K24" i="25"/>
  <c r="J23" i="25"/>
  <c r="E9" i="25"/>
  <c r="E10" i="25"/>
  <c r="E11" i="25"/>
  <c r="E12" i="25"/>
  <c r="E13" i="25"/>
  <c r="E14" i="25"/>
  <c r="E15" i="25"/>
  <c r="E16" i="25"/>
  <c r="E17" i="25"/>
  <c r="E18" i="25"/>
  <c r="K18" i="25"/>
  <c r="K17" i="25"/>
  <c r="K16" i="25"/>
  <c r="J15" i="25"/>
  <c r="I15" i="25"/>
  <c r="K15" i="25" s="1"/>
  <c r="H15" i="25"/>
  <c r="K14" i="25"/>
  <c r="J13" i="25"/>
  <c r="I13" i="25"/>
  <c r="K13" i="25" s="1"/>
  <c r="H13" i="25"/>
  <c r="J11" i="25"/>
  <c r="K11" i="25" s="1"/>
  <c r="I11" i="25"/>
  <c r="H11" i="25"/>
  <c r="I9" i="25"/>
  <c r="H9" i="25"/>
  <c r="H32" i="25"/>
  <c r="I32" i="25"/>
  <c r="K32" i="25" s="1"/>
  <c r="J32" i="25"/>
  <c r="H33" i="25"/>
  <c r="I33" i="25"/>
  <c r="E34" i="25"/>
  <c r="E35" i="25"/>
  <c r="G6" i="25"/>
  <c r="E6" i="25"/>
  <c r="I15" i="26"/>
  <c r="H25" i="11"/>
  <c r="K25" i="11"/>
  <c r="H40" i="4"/>
  <c r="K40" i="4"/>
  <c r="I29" i="10"/>
  <c r="J28" i="33"/>
  <c r="J21" i="3"/>
  <c r="K25" i="3"/>
  <c r="H22" i="32"/>
  <c r="K24" i="32"/>
  <c r="J26" i="32"/>
  <c r="H29" i="23"/>
  <c r="K29" i="23"/>
  <c r="K31" i="23"/>
  <c r="H14" i="29"/>
  <c r="K14" i="29" s="1"/>
  <c r="H16" i="29"/>
  <c r="K16" i="29" s="1"/>
  <c r="H18" i="3"/>
  <c r="K18" i="3" s="1"/>
  <c r="K29" i="25"/>
  <c r="K9" i="26"/>
  <c r="K23" i="26"/>
  <c r="H8" i="3"/>
  <c r="K8" i="3" s="1"/>
  <c r="H20" i="3"/>
  <c r="K20" i="3" s="1"/>
  <c r="J22" i="3"/>
  <c r="H23" i="32"/>
  <c r="K23" i="32" s="1"/>
  <c r="H7" i="3"/>
  <c r="H17" i="29"/>
  <c r="K17" i="29" s="1"/>
  <c r="J11" i="29"/>
  <c r="I16" i="30"/>
  <c r="H28" i="33"/>
  <c r="K28" i="33" s="1"/>
  <c r="I7" i="3"/>
  <c r="H19" i="3"/>
  <c r="H21" i="3"/>
  <c r="H26" i="32"/>
  <c r="H7" i="32"/>
  <c r="I21" i="32"/>
  <c r="J4" i="32"/>
  <c r="H5" i="32"/>
  <c r="I4" i="32"/>
  <c r="I6" i="32"/>
  <c r="J10" i="3"/>
  <c r="H3" i="3"/>
  <c r="H22" i="3"/>
  <c r="J16" i="3"/>
  <c r="K16" i="3" s="1"/>
  <c r="J17" i="3"/>
  <c r="H17" i="3"/>
  <c r="K19" i="3"/>
  <c r="I13" i="3"/>
  <c r="H13" i="3"/>
  <c r="K7" i="3"/>
  <c r="I6" i="3"/>
  <c r="J6" i="3"/>
  <c r="H26" i="33"/>
  <c r="K26" i="33" s="1"/>
  <c r="I25" i="33"/>
  <c r="H24" i="33"/>
  <c r="I24" i="33"/>
  <c r="K24" i="33" s="1"/>
  <c r="H10" i="33"/>
  <c r="K10" i="33" s="1"/>
  <c r="I10" i="33"/>
  <c r="J11" i="33"/>
  <c r="H19" i="33"/>
  <c r="K19" i="33" s="1"/>
  <c r="H16" i="33"/>
  <c r="K16" i="33" s="1"/>
  <c r="I13" i="33"/>
  <c r="H23" i="44"/>
  <c r="K23" i="44" s="1"/>
  <c r="K28" i="44"/>
  <c r="H8" i="44"/>
  <c r="K8" i="44" s="1"/>
  <c r="H10" i="44"/>
  <c r="K10" i="44"/>
  <c r="I6" i="44"/>
  <c r="I12" i="44"/>
  <c r="I13" i="44"/>
  <c r="J14" i="44"/>
  <c r="J3" i="44"/>
  <c r="I3" i="44"/>
  <c r="J29" i="4"/>
  <c r="H29" i="4"/>
  <c r="K29" i="4" s="1"/>
  <c r="J36" i="4"/>
  <c r="H41" i="4"/>
  <c r="I41" i="4"/>
  <c r="K41" i="4" s="1"/>
  <c r="J24" i="28"/>
  <c r="J35" i="4"/>
  <c r="I30" i="4"/>
  <c r="J20" i="30"/>
  <c r="J12" i="30"/>
  <c r="K12" i="30" s="1"/>
  <c r="I12" i="30"/>
  <c r="J9" i="30"/>
  <c r="I18" i="30"/>
  <c r="K18" i="30" s="1"/>
  <c r="I27" i="30"/>
  <c r="I11" i="30"/>
  <c r="I7" i="30"/>
  <c r="J17" i="30"/>
  <c r="H6" i="30"/>
  <c r="J6" i="30"/>
  <c r="I26" i="29"/>
  <c r="K26" i="29"/>
  <c r="K18" i="29"/>
  <c r="H19" i="29"/>
  <c r="K8" i="29"/>
  <c r="H24" i="29"/>
  <c r="K12" i="29"/>
  <c r="J20" i="29"/>
  <c r="J23" i="29"/>
  <c r="K23" i="29"/>
  <c r="I21" i="29"/>
  <c r="I6" i="29"/>
  <c r="K6" i="29"/>
  <c r="H9" i="28"/>
  <c r="K9" i="28"/>
  <c r="J14" i="28"/>
  <c r="K14" i="28" s="1"/>
  <c r="H14" i="28"/>
  <c r="H20" i="28"/>
  <c r="H10" i="28"/>
  <c r="I21" i="28"/>
  <c r="H21" i="28"/>
  <c r="I16" i="28"/>
  <c r="I12" i="28"/>
  <c r="J12" i="28"/>
  <c r="H17" i="28"/>
  <c r="K17" i="28" s="1"/>
  <c r="J22" i="28"/>
  <c r="I22" i="28"/>
  <c r="K25" i="28"/>
  <c r="H11" i="28"/>
  <c r="K11" i="28" s="1"/>
  <c r="H23" i="28"/>
  <c r="J13" i="27"/>
  <c r="J29" i="27"/>
  <c r="H29" i="27"/>
  <c r="K32" i="27"/>
  <c r="J17" i="27"/>
  <c r="K17" i="27"/>
  <c r="J23" i="27"/>
  <c r="J26" i="27"/>
  <c r="I8" i="27"/>
  <c r="K23" i="27"/>
  <c r="J14" i="11"/>
  <c r="K13" i="11"/>
  <c r="I31" i="11"/>
  <c r="I30" i="11"/>
  <c r="I29" i="11"/>
  <c r="K29" i="11"/>
  <c r="I28" i="11"/>
  <c r="J27" i="11"/>
  <c r="H17" i="11"/>
  <c r="K17" i="11"/>
  <c r="I22" i="11"/>
  <c r="I19" i="11"/>
  <c r="J23" i="11"/>
  <c r="K23" i="11" s="1"/>
  <c r="J14" i="26"/>
  <c r="K14" i="26"/>
  <c r="J21" i="26"/>
  <c r="J18" i="26"/>
  <c r="I20" i="26"/>
  <c r="I22" i="26"/>
  <c r="H19" i="26"/>
  <c r="K19" i="26" s="1"/>
  <c r="J10" i="26"/>
  <c r="I19" i="25"/>
  <c r="J21" i="25"/>
  <c r="J22" i="25"/>
  <c r="I28" i="23"/>
  <c r="I25" i="25"/>
  <c r="K9" i="25"/>
  <c r="I23" i="25"/>
  <c r="J12" i="25"/>
  <c r="K33" i="25"/>
  <c r="J6" i="25"/>
  <c r="G5" i="25"/>
  <c r="J5" i="25" s="1"/>
  <c r="K5" i="25" s="1"/>
  <c r="I3" i="25"/>
  <c r="E5" i="25"/>
  <c r="E4" i="25"/>
  <c r="E3" i="25"/>
  <c r="G4" i="25"/>
  <c r="H4" i="25" s="1"/>
  <c r="H3" i="25"/>
  <c r="G5" i="5"/>
  <c r="I30" i="5"/>
  <c r="K30" i="5" s="1"/>
  <c r="E30" i="5"/>
  <c r="G3" i="5"/>
  <c r="H3" i="5" s="1"/>
  <c r="J9" i="5"/>
  <c r="G9" i="5"/>
  <c r="E17" i="5"/>
  <c r="G17" i="5"/>
  <c r="H17" i="5"/>
  <c r="G29" i="5"/>
  <c r="H29" i="5" s="1"/>
  <c r="E29" i="5"/>
  <c r="E28" i="5"/>
  <c r="G28" i="5"/>
  <c r="I28" i="5"/>
  <c r="G25" i="5"/>
  <c r="I25" i="5" s="1"/>
  <c r="J25" i="5"/>
  <c r="K27" i="5"/>
  <c r="G26" i="5"/>
  <c r="H26" i="5" s="1"/>
  <c r="K26" i="5" s="1"/>
  <c r="G11" i="5"/>
  <c r="J11" i="5" s="1"/>
  <c r="J24" i="5"/>
  <c r="G24" i="5"/>
  <c r="I24" i="5" s="1"/>
  <c r="E9" i="5"/>
  <c r="E10" i="5"/>
  <c r="E11" i="5"/>
  <c r="E12" i="5"/>
  <c r="E13" i="5"/>
  <c r="E14" i="5"/>
  <c r="E15" i="5"/>
  <c r="E16" i="5"/>
  <c r="E18" i="5"/>
  <c r="E20" i="5"/>
  <c r="E21" i="5"/>
  <c r="E23" i="5"/>
  <c r="E24" i="5"/>
  <c r="E25" i="5"/>
  <c r="E26" i="5"/>
  <c r="E8" i="5"/>
  <c r="E5" i="5"/>
  <c r="E3" i="5"/>
  <c r="H23" i="5"/>
  <c r="G23" i="5"/>
  <c r="J21" i="5"/>
  <c r="G21" i="5"/>
  <c r="I21" i="5" s="1"/>
  <c r="H20" i="5"/>
  <c r="G20" i="5"/>
  <c r="J16" i="5"/>
  <c r="G16" i="5"/>
  <c r="I16" i="5" s="1"/>
  <c r="H13" i="5"/>
  <c r="G13" i="5"/>
  <c r="G12" i="5"/>
  <c r="I8" i="5"/>
  <c r="H8" i="5"/>
  <c r="G19" i="9"/>
  <c r="G22" i="9"/>
  <c r="I22" i="9"/>
  <c r="J23" i="9"/>
  <c r="I23" i="9"/>
  <c r="H23" i="9"/>
  <c r="K23" i="9"/>
  <c r="G13" i="9"/>
  <c r="J13" i="9"/>
  <c r="K13" i="9" s="1"/>
  <c r="J12" i="9"/>
  <c r="G12" i="9"/>
  <c r="I12" i="9"/>
  <c r="K12" i="9" s="1"/>
  <c r="G11" i="9"/>
  <c r="G6" i="9"/>
  <c r="J18" i="9"/>
  <c r="G18" i="9"/>
  <c r="I18" i="9"/>
  <c r="E18" i="9"/>
  <c r="G17" i="9"/>
  <c r="E17" i="9"/>
  <c r="G16" i="9"/>
  <c r="J16" i="9"/>
  <c r="K16" i="9" s="1"/>
  <c r="E16" i="9"/>
  <c r="J15" i="9"/>
  <c r="G15" i="9"/>
  <c r="H15" i="9"/>
  <c r="I15" i="9"/>
  <c r="K15" i="9" s="1"/>
  <c r="E15" i="9"/>
  <c r="J14" i="9"/>
  <c r="G14" i="9"/>
  <c r="I14" i="9" s="1"/>
  <c r="K14" i="9" s="1"/>
  <c r="E14" i="9"/>
  <c r="E6" i="9"/>
  <c r="E7" i="9"/>
  <c r="E8" i="9"/>
  <c r="E10" i="9"/>
  <c r="E11" i="9"/>
  <c r="E12" i="9"/>
  <c r="E13" i="9"/>
  <c r="E19" i="9"/>
  <c r="E20" i="9"/>
  <c r="E21" i="9"/>
  <c r="E22" i="9"/>
  <c r="E5" i="9"/>
  <c r="G10" i="9"/>
  <c r="J10" i="9" s="1"/>
  <c r="K10" i="9"/>
  <c r="J8" i="9"/>
  <c r="G8" i="9"/>
  <c r="H8" i="9" s="1"/>
  <c r="I8" i="9"/>
  <c r="K8" i="9" s="1"/>
  <c r="J7" i="9"/>
  <c r="G7" i="9"/>
  <c r="G5" i="9"/>
  <c r="H5" i="9" s="1"/>
  <c r="K5" i="9" s="1"/>
  <c r="G25" i="24"/>
  <c r="G21" i="24"/>
  <c r="H21" i="24"/>
  <c r="K21" i="24" s="1"/>
  <c r="E21" i="24"/>
  <c r="G10" i="24"/>
  <c r="H10" i="24" s="1"/>
  <c r="K10" i="24" s="1"/>
  <c r="E10" i="24"/>
  <c r="G14" i="24"/>
  <c r="J14" i="24"/>
  <c r="K14" i="24" s="1"/>
  <c r="J28" i="24"/>
  <c r="I28" i="24"/>
  <c r="H28" i="24"/>
  <c r="K28" i="24" s="1"/>
  <c r="E7" i="24"/>
  <c r="E8" i="24"/>
  <c r="E9" i="24"/>
  <c r="E11" i="24"/>
  <c r="E12" i="24"/>
  <c r="E13" i="24"/>
  <c r="E14" i="24"/>
  <c r="E15" i="24"/>
  <c r="E16" i="24"/>
  <c r="E17" i="24"/>
  <c r="E18" i="24"/>
  <c r="E19" i="24"/>
  <c r="E20" i="24"/>
  <c r="E22" i="24"/>
  <c r="E23" i="24"/>
  <c r="J20" i="24"/>
  <c r="G20" i="24"/>
  <c r="J19" i="24"/>
  <c r="G19" i="24"/>
  <c r="I19" i="24"/>
  <c r="K19" i="24" s="1"/>
  <c r="J18" i="24"/>
  <c r="G18" i="24"/>
  <c r="H17" i="24"/>
  <c r="G17" i="24"/>
  <c r="I17" i="24"/>
  <c r="J15" i="24"/>
  <c r="G15" i="24"/>
  <c r="H15" i="24"/>
  <c r="G12" i="24"/>
  <c r="J12" i="24" s="1"/>
  <c r="J11" i="24"/>
  <c r="G11" i="24"/>
  <c r="H11" i="24" s="1"/>
  <c r="J8" i="24"/>
  <c r="G8" i="24"/>
  <c r="G7" i="24"/>
  <c r="E25" i="24"/>
  <c r="E26" i="24"/>
  <c r="E4" i="24"/>
  <c r="E5" i="24"/>
  <c r="E6" i="24"/>
  <c r="E3" i="24"/>
  <c r="G6" i="24"/>
  <c r="H6" i="24"/>
  <c r="G5" i="24"/>
  <c r="I5" i="24" s="1"/>
  <c r="K27" i="24"/>
  <c r="G14" i="23"/>
  <c r="G26" i="23"/>
  <c r="H26" i="23" s="1"/>
  <c r="K26" i="23" s="1"/>
  <c r="G19" i="23"/>
  <c r="G3" i="23"/>
  <c r="H3" i="23"/>
  <c r="G9" i="23"/>
  <c r="G16" i="23"/>
  <c r="E10" i="21"/>
  <c r="H10" i="21"/>
  <c r="G10" i="21"/>
  <c r="I10" i="21"/>
  <c r="G5" i="22"/>
  <c r="G27" i="22"/>
  <c r="G26" i="22"/>
  <c r="G17" i="22"/>
  <c r="I17" i="22" s="1"/>
  <c r="H17" i="22"/>
  <c r="G15" i="22"/>
  <c r="G8" i="22"/>
  <c r="H8" i="22" s="1"/>
  <c r="I8" i="22"/>
  <c r="G24" i="20"/>
  <c r="I24" i="20"/>
  <c r="H24" i="20"/>
  <c r="G3" i="20"/>
  <c r="H3" i="20" s="1"/>
  <c r="I3" i="20"/>
  <c r="G21" i="20"/>
  <c r="G14" i="19"/>
  <c r="J14" i="19" s="1"/>
  <c r="G17" i="19"/>
  <c r="E24" i="19"/>
  <c r="H24" i="19"/>
  <c r="G24" i="19"/>
  <c r="I24" i="19" s="1"/>
  <c r="G22" i="19"/>
  <c r="G21" i="19"/>
  <c r="G26" i="19"/>
  <c r="G11" i="19"/>
  <c r="G7" i="19"/>
  <c r="G9" i="6"/>
  <c r="G5" i="6"/>
  <c r="G8" i="6"/>
  <c r="G17" i="6"/>
  <c r="G25" i="17"/>
  <c r="G30" i="17"/>
  <c r="G6" i="17"/>
  <c r="G22" i="17"/>
  <c r="I22" i="17" s="1"/>
  <c r="J32" i="17"/>
  <c r="I32" i="17"/>
  <c r="H32" i="17"/>
  <c r="G18" i="16"/>
  <c r="J18" i="16" s="1"/>
  <c r="G30" i="38"/>
  <c r="G15" i="38"/>
  <c r="G24" i="38"/>
  <c r="G28" i="8"/>
  <c r="I28" i="8" s="1"/>
  <c r="G14" i="13"/>
  <c r="H14" i="13" s="1"/>
  <c r="G3" i="13"/>
  <c r="G8" i="15"/>
  <c r="G5" i="8"/>
  <c r="G37" i="8"/>
  <c r="J34" i="8"/>
  <c r="E5" i="8"/>
  <c r="G35" i="8"/>
  <c r="H19" i="24"/>
  <c r="J3" i="5"/>
  <c r="I3" i="23"/>
  <c r="H12" i="9"/>
  <c r="K21" i="3"/>
  <c r="K13" i="3"/>
  <c r="K12" i="28"/>
  <c r="J10" i="21"/>
  <c r="I26" i="23"/>
  <c r="J26" i="23"/>
  <c r="K3" i="25"/>
  <c r="J4" i="25"/>
  <c r="J17" i="5"/>
  <c r="K17" i="5"/>
  <c r="H21" i="5"/>
  <c r="K21" i="5" s="1"/>
  <c r="H24" i="5"/>
  <c r="H28" i="5"/>
  <c r="J28" i="5"/>
  <c r="K8" i="5"/>
  <c r="H25" i="5"/>
  <c r="K25" i="5" s="1"/>
  <c r="I29" i="5"/>
  <c r="J26" i="5"/>
  <c r="H11" i="5"/>
  <c r="K11" i="5" s="1"/>
  <c r="H16" i="5"/>
  <c r="H18" i="9"/>
  <c r="K18" i="9"/>
  <c r="H14" i="9"/>
  <c r="I5" i="9"/>
  <c r="I21" i="24"/>
  <c r="I10" i="24"/>
  <c r="J17" i="24"/>
  <c r="I11" i="24"/>
  <c r="K11" i="24"/>
  <c r="I12" i="24"/>
  <c r="H12" i="24"/>
  <c r="K12" i="24" s="1"/>
  <c r="I15" i="24"/>
  <c r="K15" i="24"/>
  <c r="J7" i="24"/>
  <c r="J29" i="24" s="1"/>
  <c r="I6" i="24"/>
  <c r="J24" i="19"/>
  <c r="K24" i="19"/>
  <c r="J14" i="13"/>
  <c r="K16" i="5"/>
  <c r="K28" i="5"/>
  <c r="K6" i="24"/>
  <c r="J32" i="23"/>
  <c r="I32" i="23"/>
  <c r="H32" i="23"/>
  <c r="J27" i="21"/>
  <c r="I27" i="21"/>
  <c r="H27" i="21"/>
  <c r="J28" i="22"/>
  <c r="I28" i="22"/>
  <c r="H28" i="22"/>
  <c r="G27" i="23"/>
  <c r="G21" i="23"/>
  <c r="I14" i="23"/>
  <c r="H14" i="23"/>
  <c r="J9" i="23"/>
  <c r="J8" i="21"/>
  <c r="I8" i="21"/>
  <c r="K8" i="21" s="1"/>
  <c r="H8" i="21"/>
  <c r="G20" i="21"/>
  <c r="H20" i="21"/>
  <c r="J20" i="21"/>
  <c r="G6" i="21"/>
  <c r="G11" i="21"/>
  <c r="G14" i="21"/>
  <c r="G25" i="22"/>
  <c r="H25" i="22"/>
  <c r="E27" i="22"/>
  <c r="E26" i="22"/>
  <c r="E25" i="22"/>
  <c r="I27" i="22"/>
  <c r="K27" i="22"/>
  <c r="I26" i="22"/>
  <c r="H26" i="22"/>
  <c r="G19" i="22"/>
  <c r="I19" i="22"/>
  <c r="K19" i="22" s="1"/>
  <c r="H19" i="22"/>
  <c r="H4" i="21"/>
  <c r="I4" i="21"/>
  <c r="G3" i="21"/>
  <c r="I3" i="21"/>
  <c r="E26" i="20"/>
  <c r="H26" i="20"/>
  <c r="G26" i="20"/>
  <c r="I26" i="20"/>
  <c r="G14" i="20"/>
  <c r="G8" i="20"/>
  <c r="I8" i="20" s="1"/>
  <c r="H8" i="20"/>
  <c r="G6" i="20"/>
  <c r="G7" i="20"/>
  <c r="J29" i="20"/>
  <c r="I29" i="20"/>
  <c r="H29" i="20"/>
  <c r="G4" i="20"/>
  <c r="E32" i="10"/>
  <c r="E31" i="10"/>
  <c r="E30" i="10"/>
  <c r="J31" i="10"/>
  <c r="K31" i="10" s="1"/>
  <c r="H31" i="10"/>
  <c r="I30" i="10"/>
  <c r="H30" i="10"/>
  <c r="G25" i="10"/>
  <c r="G10" i="10"/>
  <c r="J10" i="10" s="1"/>
  <c r="G5" i="10"/>
  <c r="E8" i="10"/>
  <c r="H8" i="10"/>
  <c r="I8" i="10"/>
  <c r="G28" i="19"/>
  <c r="J28" i="19" s="1"/>
  <c r="H28" i="19"/>
  <c r="I28" i="19"/>
  <c r="K27" i="19"/>
  <c r="K23" i="19"/>
  <c r="G8" i="40"/>
  <c r="H8" i="40" s="1"/>
  <c r="J35" i="40"/>
  <c r="I35" i="40"/>
  <c r="K35" i="40" s="1"/>
  <c r="H35" i="40"/>
  <c r="G14" i="40"/>
  <c r="I14" i="40" s="1"/>
  <c r="K14" i="40" s="1"/>
  <c r="G34" i="40"/>
  <c r="G24" i="40"/>
  <c r="I24" i="40"/>
  <c r="E34" i="40"/>
  <c r="E33" i="40"/>
  <c r="E32" i="40"/>
  <c r="E31" i="40"/>
  <c r="E30" i="40"/>
  <c r="J29" i="40"/>
  <c r="I29" i="40"/>
  <c r="H29" i="40"/>
  <c r="K29" i="40"/>
  <c r="E29" i="40"/>
  <c r="K4" i="40"/>
  <c r="E3" i="40"/>
  <c r="E12" i="6"/>
  <c r="H12" i="6"/>
  <c r="G12" i="6"/>
  <c r="G6" i="6"/>
  <c r="J6" i="6"/>
  <c r="K13" i="6"/>
  <c r="K15" i="6"/>
  <c r="K16" i="6"/>
  <c r="G7" i="6"/>
  <c r="J7" i="6" s="1"/>
  <c r="H7" i="6"/>
  <c r="K7" i="6"/>
  <c r="J20" i="6"/>
  <c r="K20" i="6" s="1"/>
  <c r="I20" i="6"/>
  <c r="H20" i="6"/>
  <c r="G19" i="6"/>
  <c r="I19" i="6"/>
  <c r="J19" i="6"/>
  <c r="H18" i="6"/>
  <c r="G18" i="6"/>
  <c r="I18" i="6"/>
  <c r="E18" i="6"/>
  <c r="J17" i="6"/>
  <c r="I17" i="6"/>
  <c r="H17" i="6"/>
  <c r="E17" i="6"/>
  <c r="E16" i="6"/>
  <c r="E14" i="6"/>
  <c r="H14" i="6"/>
  <c r="G14" i="6"/>
  <c r="J11" i="6"/>
  <c r="G11" i="6"/>
  <c r="H11" i="6"/>
  <c r="E11" i="6"/>
  <c r="J10" i="6"/>
  <c r="G10" i="6"/>
  <c r="I10" i="6"/>
  <c r="E10" i="6"/>
  <c r="J9" i="6"/>
  <c r="I9" i="6"/>
  <c r="H9" i="6"/>
  <c r="K9" i="6" s="1"/>
  <c r="E9" i="6"/>
  <c r="J8" i="6"/>
  <c r="I8" i="6"/>
  <c r="K8" i="6" s="1"/>
  <c r="H8" i="6"/>
  <c r="E8" i="6"/>
  <c r="E7" i="6"/>
  <c r="E6" i="6"/>
  <c r="E5" i="6"/>
  <c r="J28" i="40"/>
  <c r="I28" i="40"/>
  <c r="H28" i="40"/>
  <c r="E28" i="40"/>
  <c r="J27" i="40"/>
  <c r="I27" i="40"/>
  <c r="H27" i="40"/>
  <c r="K27" i="40" s="1"/>
  <c r="E27" i="40"/>
  <c r="J26" i="40"/>
  <c r="I26" i="40"/>
  <c r="H26" i="40"/>
  <c r="K26" i="40"/>
  <c r="E26" i="40"/>
  <c r="E25" i="40"/>
  <c r="E24" i="40"/>
  <c r="J23" i="40"/>
  <c r="I23" i="40"/>
  <c r="H23" i="40"/>
  <c r="K23" i="40" s="1"/>
  <c r="E23" i="40"/>
  <c r="H22" i="40"/>
  <c r="G22" i="40"/>
  <c r="J22" i="40"/>
  <c r="E22" i="40"/>
  <c r="E21" i="40"/>
  <c r="J20" i="40"/>
  <c r="I20" i="40"/>
  <c r="H20" i="40"/>
  <c r="E20" i="40"/>
  <c r="J19" i="40"/>
  <c r="I19" i="40"/>
  <c r="H19" i="40"/>
  <c r="E19" i="40"/>
  <c r="H18" i="40"/>
  <c r="G18" i="40"/>
  <c r="J18" i="40"/>
  <c r="E18" i="40"/>
  <c r="E17" i="40"/>
  <c r="E16" i="40"/>
  <c r="E15" i="40"/>
  <c r="E14" i="40"/>
  <c r="J13" i="40"/>
  <c r="I13" i="40"/>
  <c r="H13" i="40"/>
  <c r="E13" i="40"/>
  <c r="H12" i="40"/>
  <c r="G12" i="40"/>
  <c r="I12" i="40" s="1"/>
  <c r="J12" i="40"/>
  <c r="E12" i="40"/>
  <c r="K11" i="40"/>
  <c r="E11" i="40"/>
  <c r="J10" i="40"/>
  <c r="I10" i="40"/>
  <c r="H10" i="40"/>
  <c r="E10" i="40"/>
  <c r="J9" i="40"/>
  <c r="I9" i="40"/>
  <c r="H9" i="40"/>
  <c r="K9" i="40"/>
  <c r="E9" i="40"/>
  <c r="E8" i="40"/>
  <c r="E7" i="40"/>
  <c r="E6" i="40"/>
  <c r="I5" i="40"/>
  <c r="H5" i="40"/>
  <c r="K5" i="40"/>
  <c r="E5" i="40"/>
  <c r="J15" i="17"/>
  <c r="K15" i="17"/>
  <c r="G33" i="17"/>
  <c r="G29" i="17"/>
  <c r="I29" i="17" s="1"/>
  <c r="H29" i="17"/>
  <c r="K29" i="17" s="1"/>
  <c r="J3" i="17"/>
  <c r="K3" i="17" s="1"/>
  <c r="I3" i="17"/>
  <c r="H3" i="17"/>
  <c r="E31" i="17"/>
  <c r="E30" i="17"/>
  <c r="E29" i="17"/>
  <c r="E28" i="17"/>
  <c r="G31" i="17"/>
  <c r="J31" i="17"/>
  <c r="K31" i="17"/>
  <c r="J30" i="17"/>
  <c r="H30" i="17"/>
  <c r="K30" i="17" s="1"/>
  <c r="G28" i="17"/>
  <c r="I28" i="17"/>
  <c r="K26" i="17"/>
  <c r="G24" i="17"/>
  <c r="E26" i="17"/>
  <c r="E25" i="17"/>
  <c r="J25" i="17"/>
  <c r="H25" i="17"/>
  <c r="K21" i="17"/>
  <c r="E20" i="17"/>
  <c r="E19" i="17"/>
  <c r="E18" i="17"/>
  <c r="G20" i="17"/>
  <c r="J20" i="17"/>
  <c r="K20" i="17"/>
  <c r="G19" i="17"/>
  <c r="J19" i="17" s="1"/>
  <c r="H19" i="17"/>
  <c r="K19" i="17" s="1"/>
  <c r="G18" i="17"/>
  <c r="H18" i="17" s="1"/>
  <c r="G12" i="17"/>
  <c r="I12" i="17"/>
  <c r="J12" i="17"/>
  <c r="G11" i="17"/>
  <c r="H11" i="17"/>
  <c r="K11" i="17" s="1"/>
  <c r="J11" i="17"/>
  <c r="K13" i="17"/>
  <c r="K16" i="17"/>
  <c r="K17" i="17"/>
  <c r="E12" i="17"/>
  <c r="E11" i="17"/>
  <c r="E10" i="17"/>
  <c r="E14" i="17"/>
  <c r="E15" i="17"/>
  <c r="G14" i="17"/>
  <c r="J14" i="17" s="1"/>
  <c r="K14" i="17" s="1"/>
  <c r="G10" i="17"/>
  <c r="H10" i="17"/>
  <c r="E8" i="17"/>
  <c r="G8" i="17"/>
  <c r="K27" i="17"/>
  <c r="K32" i="17"/>
  <c r="E7" i="17"/>
  <c r="E6" i="17"/>
  <c r="I7" i="17"/>
  <c r="K7" i="17" s="1"/>
  <c r="J6" i="17"/>
  <c r="H6" i="17"/>
  <c r="E5" i="17"/>
  <c r="G5" i="17"/>
  <c r="I5" i="17"/>
  <c r="K5" i="17" s="1"/>
  <c r="G32" i="16"/>
  <c r="H32" i="16"/>
  <c r="I6" i="16"/>
  <c r="G15" i="16"/>
  <c r="I15" i="16" s="1"/>
  <c r="G21" i="16"/>
  <c r="I21" i="16" s="1"/>
  <c r="G17" i="16"/>
  <c r="E14" i="16"/>
  <c r="H14" i="16"/>
  <c r="G14" i="16"/>
  <c r="I14" i="16"/>
  <c r="K14" i="16" s="1"/>
  <c r="G30" i="16"/>
  <c r="I30" i="16" s="1"/>
  <c r="J33" i="16"/>
  <c r="I33" i="16"/>
  <c r="H33" i="16"/>
  <c r="G13" i="16"/>
  <c r="G9" i="16"/>
  <c r="G7" i="16"/>
  <c r="I7" i="16"/>
  <c r="G16" i="38"/>
  <c r="G34" i="38"/>
  <c r="G29" i="38"/>
  <c r="I29" i="38"/>
  <c r="E14" i="38"/>
  <c r="H14" i="38"/>
  <c r="G14" i="38"/>
  <c r="I14" i="38" s="1"/>
  <c r="I8" i="38"/>
  <c r="K8" i="38"/>
  <c r="G11" i="38"/>
  <c r="E34" i="38"/>
  <c r="E33" i="38"/>
  <c r="E32" i="38"/>
  <c r="E31" i="38"/>
  <c r="E30" i="38"/>
  <c r="K33" i="38"/>
  <c r="K32" i="38"/>
  <c r="K31" i="38"/>
  <c r="K30" i="38"/>
  <c r="E8" i="38"/>
  <c r="K7" i="38"/>
  <c r="E7" i="38"/>
  <c r="K6" i="38"/>
  <c r="E6" i="38"/>
  <c r="K5" i="38"/>
  <c r="E5" i="38"/>
  <c r="K4" i="38"/>
  <c r="E4" i="38"/>
  <c r="I3" i="38"/>
  <c r="H3" i="38"/>
  <c r="E10" i="13"/>
  <c r="H10" i="13"/>
  <c r="G10" i="13"/>
  <c r="J3" i="13"/>
  <c r="G8" i="13"/>
  <c r="G18" i="13"/>
  <c r="J18" i="13" s="1"/>
  <c r="G12" i="13"/>
  <c r="H12" i="13" s="1"/>
  <c r="J12" i="13"/>
  <c r="J33" i="13"/>
  <c r="K33" i="13" s="1"/>
  <c r="I33" i="13"/>
  <c r="H33" i="13"/>
  <c r="E29" i="13"/>
  <c r="G29" i="13"/>
  <c r="I29" i="13" s="1"/>
  <c r="J30" i="13"/>
  <c r="E30" i="13"/>
  <c r="E28" i="13"/>
  <c r="E27" i="13"/>
  <c r="H30" i="13"/>
  <c r="G28" i="13"/>
  <c r="H28" i="13"/>
  <c r="G27" i="13"/>
  <c r="K9" i="13"/>
  <c r="E9" i="13"/>
  <c r="J8" i="13"/>
  <c r="E8" i="13"/>
  <c r="E7" i="13"/>
  <c r="K6" i="13"/>
  <c r="E6" i="13"/>
  <c r="K5" i="13"/>
  <c r="E5" i="13"/>
  <c r="K4" i="13"/>
  <c r="E4" i="13"/>
  <c r="E3" i="13"/>
  <c r="J35" i="38"/>
  <c r="K35" i="38" s="1"/>
  <c r="I35" i="38"/>
  <c r="H35" i="38"/>
  <c r="E29" i="38"/>
  <c r="E28" i="38"/>
  <c r="E27" i="38"/>
  <c r="E26" i="38"/>
  <c r="E25" i="38"/>
  <c r="J24" i="38"/>
  <c r="I24" i="38"/>
  <c r="H24" i="38"/>
  <c r="K24" i="38" s="1"/>
  <c r="E24" i="38"/>
  <c r="J23" i="38"/>
  <c r="K23" i="38" s="1"/>
  <c r="I23" i="38"/>
  <c r="H23" i="38"/>
  <c r="E23" i="38"/>
  <c r="H22" i="38"/>
  <c r="K22" i="38" s="1"/>
  <c r="G22" i="38"/>
  <c r="I22" i="38"/>
  <c r="E22" i="38"/>
  <c r="E21" i="38"/>
  <c r="J20" i="38"/>
  <c r="I20" i="38"/>
  <c r="H20" i="38"/>
  <c r="E20" i="38"/>
  <c r="H19" i="38"/>
  <c r="G19" i="38"/>
  <c r="I19" i="38"/>
  <c r="E19" i="38"/>
  <c r="J18" i="38"/>
  <c r="I18" i="38"/>
  <c r="K18" i="38" s="1"/>
  <c r="H18" i="38"/>
  <c r="E18" i="38"/>
  <c r="K17" i="38"/>
  <c r="J17" i="38"/>
  <c r="I17" i="38"/>
  <c r="H17" i="38"/>
  <c r="E17" i="38"/>
  <c r="E16" i="38"/>
  <c r="J15" i="38"/>
  <c r="I15" i="38"/>
  <c r="H15" i="38"/>
  <c r="E15" i="38"/>
  <c r="J13" i="38"/>
  <c r="I13" i="38"/>
  <c r="H13" i="38"/>
  <c r="K13" i="38"/>
  <c r="E13" i="38"/>
  <c r="K12" i="38"/>
  <c r="E12" i="38"/>
  <c r="E11" i="38"/>
  <c r="E10" i="38"/>
  <c r="I9" i="38"/>
  <c r="K9" i="38" s="1"/>
  <c r="H9" i="38"/>
  <c r="E9" i="38"/>
  <c r="G15" i="15"/>
  <c r="J15" i="15"/>
  <c r="I15" i="15"/>
  <c r="K15" i="15" s="1"/>
  <c r="H15" i="15"/>
  <c r="J8" i="15"/>
  <c r="G4" i="15"/>
  <c r="I4" i="15"/>
  <c r="E5" i="15"/>
  <c r="G5" i="15"/>
  <c r="I5" i="15" s="1"/>
  <c r="K5" i="15"/>
  <c r="G23" i="15"/>
  <c r="H23" i="15"/>
  <c r="G7" i="15"/>
  <c r="G9" i="15"/>
  <c r="E15" i="15"/>
  <c r="G17" i="15"/>
  <c r="G3" i="15"/>
  <c r="H3" i="15"/>
  <c r="K26" i="15"/>
  <c r="E25" i="15"/>
  <c r="E24" i="15"/>
  <c r="E23" i="15"/>
  <c r="J24" i="15"/>
  <c r="I24" i="15"/>
  <c r="H24" i="15"/>
  <c r="K24" i="15" s="1"/>
  <c r="E4" i="15"/>
  <c r="E3" i="15"/>
  <c r="G21" i="12"/>
  <c r="J21" i="12"/>
  <c r="H21" i="12"/>
  <c r="G13" i="12"/>
  <c r="G14" i="12"/>
  <c r="H15" i="12"/>
  <c r="I15" i="12"/>
  <c r="K15" i="12" s="1"/>
  <c r="K11" i="12"/>
  <c r="G12" i="12"/>
  <c r="H12" i="12"/>
  <c r="I12" i="12"/>
  <c r="K12" i="12"/>
  <c r="G10" i="12"/>
  <c r="H10" i="12"/>
  <c r="G8" i="12"/>
  <c r="H8" i="12" s="1"/>
  <c r="K8" i="12" s="1"/>
  <c r="G7" i="12"/>
  <c r="H7" i="12"/>
  <c r="I7" i="12"/>
  <c r="G18" i="12"/>
  <c r="I18" i="12"/>
  <c r="J39" i="8"/>
  <c r="K39" i="8"/>
  <c r="K38" i="8"/>
  <c r="J37" i="8"/>
  <c r="K37" i="8" s="1"/>
  <c r="H37" i="8"/>
  <c r="G36" i="8"/>
  <c r="J36" i="8" s="1"/>
  <c r="K36" i="8" s="1"/>
  <c r="I35" i="8"/>
  <c r="H35" i="8"/>
  <c r="K35" i="8" s="1"/>
  <c r="G11" i="8"/>
  <c r="G12" i="8"/>
  <c r="I10" i="8"/>
  <c r="I7" i="8"/>
  <c r="I8" i="8"/>
  <c r="I9" i="8"/>
  <c r="I6" i="8"/>
  <c r="I3" i="8"/>
  <c r="I5" i="8"/>
  <c r="I13" i="8"/>
  <c r="I14" i="8"/>
  <c r="I15" i="8"/>
  <c r="I18" i="8"/>
  <c r="K18" i="8" s="1"/>
  <c r="I19" i="8"/>
  <c r="I20" i="8"/>
  <c r="I21" i="8"/>
  <c r="I23" i="8"/>
  <c r="K23" i="8" s="1"/>
  <c r="I24" i="8"/>
  <c r="K24" i="8" s="1"/>
  <c r="I25" i="8"/>
  <c r="I27" i="8"/>
  <c r="I29" i="8"/>
  <c r="I30" i="8"/>
  <c r="I34" i="8"/>
  <c r="J8" i="12"/>
  <c r="I3" i="15"/>
  <c r="J3" i="15"/>
  <c r="K3" i="15" s="1"/>
  <c r="H19" i="6"/>
  <c r="K19" i="6" s="1"/>
  <c r="H18" i="12"/>
  <c r="K25" i="17"/>
  <c r="K28" i="40"/>
  <c r="K8" i="10"/>
  <c r="K30" i="10"/>
  <c r="J26" i="20"/>
  <c r="K28" i="22"/>
  <c r="K32" i="23"/>
  <c r="K26" i="22"/>
  <c r="H14" i="40"/>
  <c r="J18" i="6"/>
  <c r="K18" i="6"/>
  <c r="H28" i="17"/>
  <c r="K28" i="17" s="1"/>
  <c r="H29" i="38"/>
  <c r="K29" i="38" s="1"/>
  <c r="I20" i="21"/>
  <c r="K20" i="21"/>
  <c r="H3" i="21"/>
  <c r="K3" i="21" s="1"/>
  <c r="J3" i="21"/>
  <c r="I25" i="22"/>
  <c r="K25" i="22" s="1"/>
  <c r="J19" i="22"/>
  <c r="K26" i="20"/>
  <c r="J8" i="40"/>
  <c r="I8" i="40"/>
  <c r="K8" i="40"/>
  <c r="I22" i="40"/>
  <c r="K22" i="40"/>
  <c r="I18" i="40"/>
  <c r="K18" i="40" s="1"/>
  <c r="J14" i="40"/>
  <c r="H24" i="40"/>
  <c r="J24" i="40"/>
  <c r="H6" i="6"/>
  <c r="K6" i="6" s="1"/>
  <c r="I6" i="6"/>
  <c r="H10" i="6"/>
  <c r="K10" i="6"/>
  <c r="I11" i="6"/>
  <c r="K11" i="6" s="1"/>
  <c r="J10" i="17"/>
  <c r="K10" i="17" s="1"/>
  <c r="H12" i="17"/>
  <c r="I18" i="17"/>
  <c r="K18" i="17"/>
  <c r="I11" i="17"/>
  <c r="H7" i="16"/>
  <c r="K33" i="16"/>
  <c r="J14" i="16"/>
  <c r="J7" i="16"/>
  <c r="J14" i="38"/>
  <c r="I16" i="38"/>
  <c r="H3" i="13"/>
  <c r="I3" i="13"/>
  <c r="I28" i="13"/>
  <c r="K28" i="13" s="1"/>
  <c r="H29" i="13"/>
  <c r="K30" i="13"/>
  <c r="J19" i="38"/>
  <c r="K19" i="38" s="1"/>
  <c r="J22" i="38"/>
  <c r="J4" i="15"/>
  <c r="H4" i="15"/>
  <c r="K4" i="15" s="1"/>
  <c r="I23" i="15"/>
  <c r="K23" i="15"/>
  <c r="K3" i="13"/>
  <c r="K24" i="40"/>
  <c r="G16" i="8"/>
  <c r="I16" i="8"/>
  <c r="G22" i="8"/>
  <c r="G26" i="8"/>
  <c r="I26" i="8"/>
  <c r="G33" i="8"/>
  <c r="H33" i="8" s="1"/>
  <c r="J3" i="8"/>
  <c r="J5" i="8"/>
  <c r="J6" i="8"/>
  <c r="J7" i="8"/>
  <c r="J8" i="8"/>
  <c r="H8" i="8"/>
  <c r="J9" i="8"/>
  <c r="J10" i="8"/>
  <c r="K10" i="8" s="1"/>
  <c r="J13" i="8"/>
  <c r="J14" i="8"/>
  <c r="J15" i="8"/>
  <c r="J18" i="8"/>
  <c r="J19" i="8"/>
  <c r="J20" i="8"/>
  <c r="K20" i="8" s="1"/>
  <c r="J21" i="8"/>
  <c r="J23" i="8"/>
  <c r="J24" i="8"/>
  <c r="J25" i="8"/>
  <c r="J27" i="8"/>
  <c r="J29" i="8"/>
  <c r="J30" i="8"/>
  <c r="J33" i="8"/>
  <c r="H3" i="8"/>
  <c r="H5" i="8"/>
  <c r="H6" i="8"/>
  <c r="H7" i="8"/>
  <c r="H9" i="8"/>
  <c r="H10" i="8"/>
  <c r="H13" i="8"/>
  <c r="H14" i="8"/>
  <c r="H15" i="8"/>
  <c r="H16" i="8"/>
  <c r="K16" i="8" s="1"/>
  <c r="H18" i="8"/>
  <c r="H19" i="8"/>
  <c r="H20" i="8"/>
  <c r="H21" i="8"/>
  <c r="H22" i="8"/>
  <c r="K22" i="8" s="1"/>
  <c r="H23" i="8"/>
  <c r="H24" i="8"/>
  <c r="H25" i="8"/>
  <c r="H26" i="8"/>
  <c r="H27" i="8"/>
  <c r="K27" i="8" s="1"/>
  <c r="H29" i="8"/>
  <c r="H30" i="8"/>
  <c r="H34" i="8"/>
  <c r="E10" i="8"/>
  <c r="E9" i="8"/>
  <c r="E4" i="8"/>
  <c r="E3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35" i="8" s="1"/>
  <c r="E12" i="8"/>
  <c r="E11" i="8"/>
  <c r="E8" i="8"/>
  <c r="E7" i="8"/>
  <c r="E6" i="8"/>
  <c r="K17" i="8"/>
  <c r="I14" i="19"/>
  <c r="I19" i="19"/>
  <c r="I3" i="19"/>
  <c r="I6" i="19"/>
  <c r="I7" i="19"/>
  <c r="I11" i="19"/>
  <c r="I12" i="19"/>
  <c r="G15" i="19"/>
  <c r="J15" i="19" s="1"/>
  <c r="I17" i="19"/>
  <c r="G18" i="19"/>
  <c r="I18" i="19" s="1"/>
  <c r="I21" i="19"/>
  <c r="K21" i="19" s="1"/>
  <c r="I26" i="19"/>
  <c r="J19" i="19"/>
  <c r="J11" i="19"/>
  <c r="J12" i="19"/>
  <c r="K12" i="19" s="1"/>
  <c r="J17" i="19"/>
  <c r="H14" i="19"/>
  <c r="H19" i="19"/>
  <c r="H3" i="19"/>
  <c r="K3" i="19" s="1"/>
  <c r="H6" i="19"/>
  <c r="K6" i="19"/>
  <c r="H7" i="19"/>
  <c r="K7" i="19" s="1"/>
  <c r="H11" i="19"/>
  <c r="K11" i="19"/>
  <c r="H12" i="19"/>
  <c r="H15" i="19"/>
  <c r="H17" i="19"/>
  <c r="H18" i="19"/>
  <c r="K18" i="19" s="1"/>
  <c r="H21" i="19"/>
  <c r="H26" i="19"/>
  <c r="E28" i="19"/>
  <c r="E27" i="19"/>
  <c r="E26" i="19"/>
  <c r="E25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G16" i="10"/>
  <c r="H16" i="10"/>
  <c r="J16" i="10"/>
  <c r="K18" i="10"/>
  <c r="G12" i="10"/>
  <c r="H12" i="10"/>
  <c r="G11" i="10"/>
  <c r="I11" i="10"/>
  <c r="J12" i="10"/>
  <c r="J11" i="10"/>
  <c r="G19" i="10"/>
  <c r="I19" i="10"/>
  <c r="G24" i="10"/>
  <c r="I24" i="10"/>
  <c r="I3" i="10"/>
  <c r="I4" i="10"/>
  <c r="G6" i="10"/>
  <c r="I6" i="10" s="1"/>
  <c r="I7" i="10"/>
  <c r="I10" i="10"/>
  <c r="G15" i="10"/>
  <c r="I17" i="10"/>
  <c r="I20" i="10"/>
  <c r="I23" i="10"/>
  <c r="I25" i="10"/>
  <c r="I26" i="10"/>
  <c r="J3" i="10"/>
  <c r="J4" i="10"/>
  <c r="J7" i="10"/>
  <c r="J17" i="10"/>
  <c r="J20" i="10"/>
  <c r="J23" i="10"/>
  <c r="J25" i="10"/>
  <c r="J26" i="10"/>
  <c r="H3" i="10"/>
  <c r="H4" i="10"/>
  <c r="H5" i="10"/>
  <c r="H6" i="10"/>
  <c r="H7" i="10"/>
  <c r="K7" i="10" s="1"/>
  <c r="H10" i="10"/>
  <c r="H15" i="10"/>
  <c r="H17" i="10"/>
  <c r="H19" i="10"/>
  <c r="K19" i="10" s="1"/>
  <c r="H20" i="10"/>
  <c r="H23" i="10"/>
  <c r="H24" i="10"/>
  <c r="H25" i="10"/>
  <c r="H26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7" i="10"/>
  <c r="E6" i="10"/>
  <c r="E5" i="10"/>
  <c r="E4" i="10"/>
  <c r="E3" i="10"/>
  <c r="K14" i="10"/>
  <c r="J4" i="20"/>
  <c r="I4" i="20"/>
  <c r="H4" i="20"/>
  <c r="I6" i="20"/>
  <c r="I7" i="20"/>
  <c r="G20" i="20"/>
  <c r="I20" i="20" s="1"/>
  <c r="J14" i="20"/>
  <c r="K14" i="20" s="1"/>
  <c r="J21" i="20"/>
  <c r="H6" i="20"/>
  <c r="H7" i="20"/>
  <c r="K7" i="20"/>
  <c r="H14" i="20"/>
  <c r="H20" i="20"/>
  <c r="H21" i="20"/>
  <c r="K21" i="20"/>
  <c r="K5" i="20"/>
  <c r="K8" i="20"/>
  <c r="K9" i="20"/>
  <c r="K10" i="20"/>
  <c r="K11" i="20"/>
  <c r="K12" i="20"/>
  <c r="K13" i="20"/>
  <c r="K15" i="20"/>
  <c r="K16" i="20"/>
  <c r="K17" i="20"/>
  <c r="K18" i="20"/>
  <c r="K19" i="20"/>
  <c r="K22" i="20"/>
  <c r="K23" i="20"/>
  <c r="K24" i="20"/>
  <c r="K25" i="20"/>
  <c r="K27" i="20"/>
  <c r="K28" i="20"/>
  <c r="K3" i="20"/>
  <c r="E23" i="20"/>
  <c r="E22" i="20"/>
  <c r="E13" i="20"/>
  <c r="E12" i="20"/>
  <c r="E11" i="20"/>
  <c r="E10" i="20"/>
  <c r="E9" i="20"/>
  <c r="E4" i="20"/>
  <c r="E28" i="20"/>
  <c r="E27" i="20"/>
  <c r="E25" i="20"/>
  <c r="E24" i="20"/>
  <c r="E21" i="20"/>
  <c r="E20" i="20"/>
  <c r="E19" i="20"/>
  <c r="E14" i="20"/>
  <c r="E8" i="20"/>
  <c r="E7" i="20"/>
  <c r="E6" i="20"/>
  <c r="E5" i="20"/>
  <c r="E3" i="20"/>
  <c r="E15" i="21"/>
  <c r="E21" i="21"/>
  <c r="E9" i="21"/>
  <c r="E8" i="21"/>
  <c r="E7" i="21"/>
  <c r="I5" i="21"/>
  <c r="K5" i="21" s="1"/>
  <c r="I12" i="21"/>
  <c r="G13" i="21"/>
  <c r="I13" i="21"/>
  <c r="G16" i="21"/>
  <c r="I16" i="21" s="1"/>
  <c r="I17" i="21"/>
  <c r="G18" i="21"/>
  <c r="J18" i="21" s="1"/>
  <c r="I19" i="21"/>
  <c r="J6" i="21"/>
  <c r="J12" i="21"/>
  <c r="J14" i="21"/>
  <c r="J17" i="21"/>
  <c r="J19" i="21"/>
  <c r="H5" i="21"/>
  <c r="H6" i="21"/>
  <c r="H12" i="21"/>
  <c r="K12" i="21"/>
  <c r="H14" i="21"/>
  <c r="H16" i="21"/>
  <c r="H17" i="21"/>
  <c r="H18" i="21"/>
  <c r="H19" i="21"/>
  <c r="E14" i="21"/>
  <c r="E13" i="21"/>
  <c r="E23" i="21"/>
  <c r="E20" i="21"/>
  <c r="E19" i="21"/>
  <c r="E18" i="21"/>
  <c r="E17" i="21"/>
  <c r="E16" i="21"/>
  <c r="E12" i="21"/>
  <c r="E11" i="21"/>
  <c r="E6" i="21"/>
  <c r="E5" i="21"/>
  <c r="K4" i="21"/>
  <c r="E3" i="21"/>
  <c r="G16" i="22"/>
  <c r="J16" i="22"/>
  <c r="H16" i="22"/>
  <c r="I5" i="22"/>
  <c r="G21" i="22"/>
  <c r="I21" i="22"/>
  <c r="G22" i="22"/>
  <c r="I22" i="22"/>
  <c r="I23" i="22"/>
  <c r="J5" i="22"/>
  <c r="J29" i="22" s="1"/>
  <c r="J14" i="22"/>
  <c r="J15" i="22"/>
  <c r="K15" i="22" s="1"/>
  <c r="J21" i="22"/>
  <c r="J22" i="22"/>
  <c r="J23" i="22"/>
  <c r="H5" i="22"/>
  <c r="H14" i="22"/>
  <c r="K14" i="22"/>
  <c r="H15" i="22"/>
  <c r="H22" i="22"/>
  <c r="H23" i="22"/>
  <c r="K23" i="22" s="1"/>
  <c r="K17" i="22"/>
  <c r="K18" i="22"/>
  <c r="K20" i="22"/>
  <c r="K24" i="22"/>
  <c r="K6" i="22"/>
  <c r="K7" i="22"/>
  <c r="K8" i="22"/>
  <c r="K9" i="22"/>
  <c r="K10" i="22"/>
  <c r="E12" i="22"/>
  <c r="E10" i="22"/>
  <c r="E11" i="22"/>
  <c r="E20" i="22"/>
  <c r="E19" i="22"/>
  <c r="E18" i="22"/>
  <c r="E24" i="22"/>
  <c r="E23" i="22"/>
  <c r="E22" i="22"/>
  <c r="E21" i="22"/>
  <c r="E17" i="22"/>
  <c r="E16" i="22"/>
  <c r="E15" i="22"/>
  <c r="E14" i="22"/>
  <c r="E13" i="22"/>
  <c r="E9" i="22"/>
  <c r="E8" i="22"/>
  <c r="E6" i="22"/>
  <c r="E5" i="22"/>
  <c r="E26" i="23"/>
  <c r="E25" i="23"/>
  <c r="E24" i="23"/>
  <c r="E23" i="23"/>
  <c r="E22" i="23"/>
  <c r="G4" i="23"/>
  <c r="I4" i="23"/>
  <c r="I7" i="23"/>
  <c r="I8" i="23"/>
  <c r="G10" i="23"/>
  <c r="I10" i="23" s="1"/>
  <c r="G11" i="23"/>
  <c r="I11" i="23"/>
  <c r="G12" i="23"/>
  <c r="G13" i="23"/>
  <c r="J13" i="23" s="1"/>
  <c r="G17" i="23"/>
  <c r="I17" i="23"/>
  <c r="I19" i="23"/>
  <c r="G20" i="23"/>
  <c r="G22" i="23"/>
  <c r="I22" i="23" s="1"/>
  <c r="I23" i="23"/>
  <c r="J10" i="23"/>
  <c r="J11" i="23"/>
  <c r="J16" i="23"/>
  <c r="J19" i="23"/>
  <c r="J23" i="23"/>
  <c r="J27" i="23"/>
  <c r="K27" i="23" s="1"/>
  <c r="H4" i="23"/>
  <c r="H7" i="23"/>
  <c r="H8" i="23"/>
  <c r="H9" i="23"/>
  <c r="K9" i="23"/>
  <c r="H10" i="23"/>
  <c r="H11" i="23"/>
  <c r="H12" i="23"/>
  <c r="H13" i="23"/>
  <c r="H16" i="23"/>
  <c r="H17" i="23"/>
  <c r="H19" i="23"/>
  <c r="H20" i="23"/>
  <c r="H22" i="23"/>
  <c r="H23" i="23"/>
  <c r="H27" i="23"/>
  <c r="K5" i="23"/>
  <c r="K6" i="23"/>
  <c r="K14" i="23"/>
  <c r="K15" i="23"/>
  <c r="K18" i="23"/>
  <c r="K3" i="23"/>
  <c r="E11" i="23"/>
  <c r="E10" i="23"/>
  <c r="E27" i="23"/>
  <c r="E21" i="23"/>
  <c r="E20" i="23"/>
  <c r="E19" i="23"/>
  <c r="E17" i="23"/>
  <c r="E16" i="23"/>
  <c r="E15" i="23"/>
  <c r="E14" i="23"/>
  <c r="E13" i="23"/>
  <c r="E12" i="23"/>
  <c r="E9" i="23"/>
  <c r="E8" i="23"/>
  <c r="E7" i="23"/>
  <c r="E6" i="23"/>
  <c r="E5" i="23"/>
  <c r="E4" i="23"/>
  <c r="E3" i="23"/>
  <c r="J25" i="24"/>
  <c r="H25" i="24"/>
  <c r="I4" i="24"/>
  <c r="I24" i="24"/>
  <c r="G26" i="24"/>
  <c r="J26" i="24"/>
  <c r="H4" i="24"/>
  <c r="H24" i="24"/>
  <c r="K3" i="24"/>
  <c r="I3" i="9"/>
  <c r="I4" i="9"/>
  <c r="I11" i="9"/>
  <c r="I20" i="9"/>
  <c r="I21" i="9"/>
  <c r="J3" i="9"/>
  <c r="J11" i="9"/>
  <c r="J20" i="9"/>
  <c r="H20" i="9"/>
  <c r="K20" i="9"/>
  <c r="J21" i="9"/>
  <c r="J22" i="9"/>
  <c r="H3" i="9"/>
  <c r="K3" i="9" s="1"/>
  <c r="H4" i="9"/>
  <c r="H11" i="9"/>
  <c r="K11" i="9"/>
  <c r="H21" i="9"/>
  <c r="K4" i="9"/>
  <c r="K22" i="9"/>
  <c r="I4" i="5"/>
  <c r="J5" i="5"/>
  <c r="H4" i="5"/>
  <c r="K5" i="5"/>
  <c r="I22" i="12"/>
  <c r="H22" i="12"/>
  <c r="I26" i="12"/>
  <c r="K26" i="12"/>
  <c r="K25" i="12"/>
  <c r="K24" i="12"/>
  <c r="G23" i="12"/>
  <c r="I23" i="12" s="1"/>
  <c r="K21" i="12"/>
  <c r="K18" i="12"/>
  <c r="G17" i="12"/>
  <c r="J17" i="12" s="1"/>
  <c r="G9" i="12"/>
  <c r="J9" i="12"/>
  <c r="K4" i="12"/>
  <c r="K3" i="12"/>
  <c r="I5" i="12"/>
  <c r="H5" i="12"/>
  <c r="E16" i="12"/>
  <c r="E25" i="12"/>
  <c r="E24" i="12"/>
  <c r="E23" i="12"/>
  <c r="E22" i="12"/>
  <c r="E21" i="12"/>
  <c r="E20" i="12"/>
  <c r="E19" i="12"/>
  <c r="E18" i="12"/>
  <c r="E17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G4" i="26"/>
  <c r="I4" i="26" s="1"/>
  <c r="H3" i="26"/>
  <c r="I5" i="26"/>
  <c r="G7" i="26"/>
  <c r="H7" i="26" s="1"/>
  <c r="G8" i="26"/>
  <c r="I8" i="26" s="1"/>
  <c r="G26" i="26"/>
  <c r="H26" i="26" s="1"/>
  <c r="G27" i="26"/>
  <c r="I27" i="26" s="1"/>
  <c r="G25" i="26"/>
  <c r="J25" i="26" s="1"/>
  <c r="J27" i="26"/>
  <c r="H8" i="26"/>
  <c r="E30" i="26"/>
  <c r="E29" i="26"/>
  <c r="E28" i="26"/>
  <c r="E27" i="26"/>
  <c r="E26" i="26"/>
  <c r="E25" i="26"/>
  <c r="E5" i="26"/>
  <c r="G24" i="11"/>
  <c r="I24" i="11" s="1"/>
  <c r="G26" i="11"/>
  <c r="I26" i="11"/>
  <c r="I3" i="11"/>
  <c r="I8" i="11"/>
  <c r="I9" i="11"/>
  <c r="I10" i="11"/>
  <c r="I11" i="11"/>
  <c r="J24" i="11"/>
  <c r="J3" i="11"/>
  <c r="H3" i="11"/>
  <c r="K3" i="11" s="1"/>
  <c r="J8" i="11"/>
  <c r="J9" i="11"/>
  <c r="J10" i="11"/>
  <c r="K10" i="11" s="1"/>
  <c r="K4" i="11"/>
  <c r="H8" i="11"/>
  <c r="H9" i="11"/>
  <c r="H10" i="11"/>
  <c r="H11" i="11"/>
  <c r="K11" i="11"/>
  <c r="H24" i="11"/>
  <c r="K24" i="11" s="1"/>
  <c r="H26" i="11"/>
  <c r="K7" i="11"/>
  <c r="K6" i="11"/>
  <c r="I3" i="27"/>
  <c r="I5" i="27"/>
  <c r="K5" i="27" s="1"/>
  <c r="I9" i="27"/>
  <c r="G10" i="27"/>
  <c r="I10" i="27"/>
  <c r="G12" i="27"/>
  <c r="I12" i="27"/>
  <c r="J3" i="27"/>
  <c r="J5" i="27"/>
  <c r="J7" i="27"/>
  <c r="J9" i="27"/>
  <c r="J10" i="27"/>
  <c r="H3" i="27"/>
  <c r="K3" i="27"/>
  <c r="H5" i="27"/>
  <c r="H7" i="27"/>
  <c r="H8" i="27"/>
  <c r="K8" i="27"/>
  <c r="H9" i="27"/>
  <c r="I3" i="28"/>
  <c r="I5" i="28"/>
  <c r="J3" i="28"/>
  <c r="J4" i="28"/>
  <c r="J5" i="28"/>
  <c r="H3" i="28"/>
  <c r="H4" i="28"/>
  <c r="K4" i="28" s="1"/>
  <c r="H5" i="28"/>
  <c r="G3" i="29"/>
  <c r="I3" i="29" s="1"/>
  <c r="K3" i="29" s="1"/>
  <c r="I5" i="29"/>
  <c r="I29" i="29"/>
  <c r="I30" i="29"/>
  <c r="J3" i="29"/>
  <c r="J4" i="29"/>
  <c r="J30" i="29"/>
  <c r="H3" i="29"/>
  <c r="H4" i="29"/>
  <c r="K4" i="29" s="1"/>
  <c r="H5" i="29"/>
  <c r="K5" i="29" s="1"/>
  <c r="H29" i="29"/>
  <c r="K29" i="29" s="1"/>
  <c r="H30" i="29"/>
  <c r="I3" i="30"/>
  <c r="I5" i="30"/>
  <c r="I22" i="30"/>
  <c r="G28" i="30"/>
  <c r="I28" i="30" s="1"/>
  <c r="J5" i="30"/>
  <c r="J23" i="30"/>
  <c r="J28" i="30"/>
  <c r="K28" i="30" s="1"/>
  <c r="H3" i="30"/>
  <c r="H5" i="30"/>
  <c r="H22" i="30"/>
  <c r="K22" i="30" s="1"/>
  <c r="H23" i="30"/>
  <c r="G28" i="4"/>
  <c r="I28" i="4"/>
  <c r="G25" i="4"/>
  <c r="J25" i="4" s="1"/>
  <c r="I25" i="4"/>
  <c r="K25" i="4" s="1"/>
  <c r="H25" i="4"/>
  <c r="I14" i="4"/>
  <c r="K14" i="4" s="1"/>
  <c r="I3" i="4"/>
  <c r="I5" i="4"/>
  <c r="I6" i="4"/>
  <c r="I8" i="4"/>
  <c r="I10" i="4"/>
  <c r="I11" i="4"/>
  <c r="K11" i="4" s="1"/>
  <c r="I15" i="4"/>
  <c r="I16" i="4"/>
  <c r="I17" i="4"/>
  <c r="H17" i="4"/>
  <c r="J17" i="4"/>
  <c r="K17" i="4"/>
  <c r="G20" i="4"/>
  <c r="I21" i="4"/>
  <c r="I26" i="4"/>
  <c r="I34" i="4"/>
  <c r="J28" i="4"/>
  <c r="J9" i="4"/>
  <c r="J14" i="4"/>
  <c r="J3" i="4"/>
  <c r="J5" i="4"/>
  <c r="J6" i="4"/>
  <c r="J8" i="4"/>
  <c r="K8" i="4" s="1"/>
  <c r="J10" i="4"/>
  <c r="K10" i="4" s="1"/>
  <c r="J15" i="4"/>
  <c r="J16" i="4"/>
  <c r="J21" i="4"/>
  <c r="J26" i="4"/>
  <c r="K26" i="4" s="1"/>
  <c r="J34" i="4"/>
  <c r="H14" i="4"/>
  <c r="H3" i="4"/>
  <c r="H5" i="4"/>
  <c r="K5" i="4" s="1"/>
  <c r="H6" i="4"/>
  <c r="H8" i="4"/>
  <c r="H10" i="4"/>
  <c r="H11" i="4"/>
  <c r="H15" i="4"/>
  <c r="K15" i="4" s="1"/>
  <c r="H16" i="4"/>
  <c r="H20" i="4"/>
  <c r="H21" i="4"/>
  <c r="H26" i="4"/>
  <c r="H28" i="4"/>
  <c r="H34" i="4"/>
  <c r="K21" i="4"/>
  <c r="K28" i="4"/>
  <c r="K33" i="4"/>
  <c r="K32" i="4"/>
  <c r="K31" i="4"/>
  <c r="K27" i="4"/>
  <c r="K23" i="4"/>
  <c r="K24" i="4"/>
  <c r="K22" i="4"/>
  <c r="K19" i="4"/>
  <c r="K18" i="4"/>
  <c r="K4" i="4"/>
  <c r="K7" i="4"/>
  <c r="K16" i="4"/>
  <c r="I8" i="33"/>
  <c r="I9" i="33"/>
  <c r="J7" i="33"/>
  <c r="H7" i="33"/>
  <c r="H8" i="33"/>
  <c r="K8" i="33" s="1"/>
  <c r="K4" i="33"/>
  <c r="K5" i="33"/>
  <c r="K6" i="33"/>
  <c r="I5" i="3"/>
  <c r="J5" i="3"/>
  <c r="J26" i="3" s="1"/>
  <c r="H5" i="3"/>
  <c r="H11" i="13"/>
  <c r="H22" i="13"/>
  <c r="H23" i="13"/>
  <c r="H24" i="13"/>
  <c r="K24" i="13" s="1"/>
  <c r="H26" i="13"/>
  <c r="G26" i="13"/>
  <c r="J26" i="13" s="1"/>
  <c r="G23" i="13"/>
  <c r="I23" i="13" s="1"/>
  <c r="I24" i="13"/>
  <c r="J24" i="13"/>
  <c r="I22" i="13"/>
  <c r="J22" i="13"/>
  <c r="I11" i="13"/>
  <c r="J11" i="13"/>
  <c r="E21" i="13"/>
  <c r="E20" i="13"/>
  <c r="E19" i="13"/>
  <c r="E26" i="13"/>
  <c r="E25" i="13"/>
  <c r="E24" i="13"/>
  <c r="E23" i="13"/>
  <c r="E22" i="13"/>
  <c r="E18" i="13"/>
  <c r="E17" i="13"/>
  <c r="E16" i="13"/>
  <c r="E13" i="13"/>
  <c r="E12" i="13"/>
  <c r="E11" i="13"/>
  <c r="G11" i="32"/>
  <c r="J11" i="32" s="1"/>
  <c r="I9" i="32"/>
  <c r="I10" i="32"/>
  <c r="I13" i="32"/>
  <c r="G14" i="32"/>
  <c r="J14" i="32" s="1"/>
  <c r="I14" i="32"/>
  <c r="I15" i="32"/>
  <c r="G16" i="32"/>
  <c r="I16" i="32" s="1"/>
  <c r="I17" i="32"/>
  <c r="J10" i="32"/>
  <c r="J12" i="32"/>
  <c r="K12" i="32" s="1"/>
  <c r="J13" i="32"/>
  <c r="J15" i="32"/>
  <c r="J16" i="32"/>
  <c r="J17" i="32"/>
  <c r="H9" i="32"/>
  <c r="H10" i="32"/>
  <c r="K10" i="32" s="1"/>
  <c r="H11" i="32"/>
  <c r="H12" i="32"/>
  <c r="H13" i="32"/>
  <c r="H14" i="32"/>
  <c r="H15" i="32"/>
  <c r="H16" i="32"/>
  <c r="H17" i="32"/>
  <c r="K17" i="32" s="1"/>
  <c r="H7" i="15"/>
  <c r="K7" i="15" s="1"/>
  <c r="J7" i="15"/>
  <c r="H8" i="15"/>
  <c r="G18" i="15"/>
  <c r="J18" i="15"/>
  <c r="K18" i="15" s="1"/>
  <c r="K6" i="15"/>
  <c r="K10" i="15"/>
  <c r="K11" i="15"/>
  <c r="K12" i="15"/>
  <c r="G13" i="15"/>
  <c r="J13" i="15" s="1"/>
  <c r="K13" i="15"/>
  <c r="G14" i="15"/>
  <c r="J14" i="15"/>
  <c r="K14" i="15" s="1"/>
  <c r="K16" i="15"/>
  <c r="H17" i="15"/>
  <c r="I17" i="15"/>
  <c r="I27" i="15"/>
  <c r="J6" i="35" s="1"/>
  <c r="J17" i="15"/>
  <c r="K17" i="15" s="1"/>
  <c r="K19" i="15"/>
  <c r="K20" i="15"/>
  <c r="K21" i="15"/>
  <c r="K22" i="15"/>
  <c r="E16" i="15"/>
  <c r="E12" i="15"/>
  <c r="E11" i="15"/>
  <c r="E10" i="15"/>
  <c r="E21" i="15"/>
  <c r="E20" i="15"/>
  <c r="E19" i="15"/>
  <c r="E22" i="15"/>
  <c r="E18" i="15"/>
  <c r="E17" i="15"/>
  <c r="E14" i="15"/>
  <c r="E13" i="15"/>
  <c r="E9" i="15"/>
  <c r="E8" i="15"/>
  <c r="E7" i="15"/>
  <c r="E6" i="15"/>
  <c r="G29" i="16"/>
  <c r="I29" i="16"/>
  <c r="J29" i="16"/>
  <c r="J30" i="16"/>
  <c r="K30" i="16" s="1"/>
  <c r="G28" i="16"/>
  <c r="H28" i="16" s="1"/>
  <c r="J28" i="16"/>
  <c r="G26" i="16"/>
  <c r="I26" i="16"/>
  <c r="K26" i="16" s="1"/>
  <c r="J26" i="16"/>
  <c r="G27" i="16"/>
  <c r="J27" i="16"/>
  <c r="J13" i="16"/>
  <c r="H13" i="16"/>
  <c r="J17" i="16"/>
  <c r="H17" i="16"/>
  <c r="K17" i="16" s="1"/>
  <c r="K4" i="16"/>
  <c r="H5" i="16"/>
  <c r="K5" i="16" s="1"/>
  <c r="I5" i="16"/>
  <c r="K6" i="16"/>
  <c r="K7" i="16"/>
  <c r="K8" i="16"/>
  <c r="K10" i="16"/>
  <c r="K11" i="16"/>
  <c r="K12" i="16"/>
  <c r="H15" i="16"/>
  <c r="K15" i="16" s="1"/>
  <c r="J15" i="16"/>
  <c r="K16" i="16"/>
  <c r="H19" i="16"/>
  <c r="G19" i="16"/>
  <c r="J19" i="16" s="1"/>
  <c r="I19" i="16"/>
  <c r="K19" i="16" s="1"/>
  <c r="K20" i="16"/>
  <c r="H21" i="16"/>
  <c r="J21" i="16"/>
  <c r="H22" i="16"/>
  <c r="G22" i="16"/>
  <c r="G23" i="16"/>
  <c r="I23" i="16" s="1"/>
  <c r="J23" i="16"/>
  <c r="K24" i="16"/>
  <c r="G25" i="16"/>
  <c r="H25" i="16" s="1"/>
  <c r="J25" i="16"/>
  <c r="K31" i="16"/>
  <c r="K3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7" i="16"/>
  <c r="E16" i="16"/>
  <c r="E15" i="16"/>
  <c r="E13" i="16"/>
  <c r="E12" i="16"/>
  <c r="E11" i="16"/>
  <c r="E10" i="16"/>
  <c r="E9" i="16"/>
  <c r="E8" i="16"/>
  <c r="E7" i="16"/>
  <c r="E6" i="16"/>
  <c r="H33" i="17"/>
  <c r="K33" i="17" s="1"/>
  <c r="I33" i="17"/>
  <c r="J33" i="17"/>
  <c r="I4" i="17"/>
  <c r="G23" i="17"/>
  <c r="J23" i="17"/>
  <c r="I24" i="17"/>
  <c r="K24" i="17" s="1"/>
  <c r="J4" i="17"/>
  <c r="J22" i="17"/>
  <c r="J24" i="17"/>
  <c r="H4" i="17"/>
  <c r="H22" i="17"/>
  <c r="K22" i="17" s="1"/>
  <c r="H23" i="17"/>
  <c r="K23" i="17" s="1"/>
  <c r="H24" i="17"/>
  <c r="E21" i="17"/>
  <c r="E27" i="17"/>
  <c r="E24" i="17"/>
  <c r="E23" i="17"/>
  <c r="E22" i="17"/>
  <c r="I4" i="6"/>
  <c r="H4" i="6"/>
  <c r="K4" i="6" s="1"/>
  <c r="E4" i="6"/>
  <c r="E3" i="6"/>
  <c r="K3" i="6"/>
  <c r="K6" i="4"/>
  <c r="H10" i="27"/>
  <c r="I3" i="26"/>
  <c r="H21" i="22"/>
  <c r="J4" i="23"/>
  <c r="I16" i="10"/>
  <c r="K34" i="4"/>
  <c r="H12" i="27"/>
  <c r="K12" i="27" s="1"/>
  <c r="H27" i="26"/>
  <c r="K27" i="26" s="1"/>
  <c r="K6" i="20"/>
  <c r="H28" i="30"/>
  <c r="H26" i="3"/>
  <c r="K9" i="11"/>
  <c r="K19" i="35"/>
  <c r="K11" i="23"/>
  <c r="I16" i="22"/>
  <c r="K16" i="22" s="1"/>
  <c r="K4" i="24"/>
  <c r="K19" i="23"/>
  <c r="K22" i="22"/>
  <c r="K23" i="10"/>
  <c r="J12" i="27"/>
  <c r="K23" i="30"/>
  <c r="K7" i="27"/>
  <c r="K4" i="5"/>
  <c r="I12" i="10"/>
  <c r="K12" i="10" s="1"/>
  <c r="K4" i="17"/>
  <c r="K13" i="16"/>
  <c r="K15" i="32"/>
  <c r="K8" i="23"/>
  <c r="K14" i="21"/>
  <c r="K19" i="19"/>
  <c r="J26" i="8"/>
  <c r="I11" i="32"/>
  <c r="K20" i="10"/>
  <c r="K26" i="10"/>
  <c r="K3" i="10"/>
  <c r="K3" i="4"/>
  <c r="K30" i="29"/>
  <c r="J27" i="28"/>
  <c r="K26" i="35" s="1"/>
  <c r="K5" i="28"/>
  <c r="K9" i="27"/>
  <c r="K10" i="27"/>
  <c r="G6" i="27"/>
  <c r="E6" i="27"/>
  <c r="J26" i="11"/>
  <c r="K3" i="26"/>
  <c r="K19" i="21"/>
  <c r="K17" i="21"/>
  <c r="K4" i="23"/>
  <c r="J22" i="23"/>
  <c r="K22" i="23"/>
  <c r="K7" i="23"/>
  <c r="K23" i="23"/>
  <c r="K3" i="5"/>
  <c r="K24" i="24"/>
  <c r="K16" i="23"/>
  <c r="K21" i="22"/>
  <c r="K26" i="19"/>
  <c r="K14" i="19"/>
  <c r="I26" i="13"/>
  <c r="K10" i="23"/>
  <c r="J17" i="23"/>
  <c r="I13" i="23"/>
  <c r="K13" i="23" s="1"/>
  <c r="H13" i="21"/>
  <c r="K13" i="21"/>
  <c r="I18" i="21"/>
  <c r="K18" i="21" s="1"/>
  <c r="I30" i="20"/>
  <c r="J15" i="35" s="1"/>
  <c r="K4" i="20"/>
  <c r="J6" i="10"/>
  <c r="K25" i="10"/>
  <c r="J19" i="10"/>
  <c r="K16" i="10"/>
  <c r="K4" i="10"/>
  <c r="K17" i="10"/>
  <c r="J24" i="10"/>
  <c r="K24" i="10"/>
  <c r="H11" i="10"/>
  <c r="K11" i="10" s="1"/>
  <c r="J18" i="19"/>
  <c r="I15" i="19"/>
  <c r="K15" i="19" s="1"/>
  <c r="I23" i="17"/>
  <c r="K21" i="16"/>
  <c r="H26" i="16"/>
  <c r="H29" i="16"/>
  <c r="K29" i="16" s="1"/>
  <c r="I25" i="16"/>
  <c r="K25" i="16"/>
  <c r="I28" i="16"/>
  <c r="J23" i="13"/>
  <c r="E38" i="8"/>
  <c r="K21" i="8"/>
  <c r="K17" i="12"/>
  <c r="J23" i="12"/>
  <c r="K23" i="12"/>
  <c r="K9" i="12"/>
  <c r="J22" i="8"/>
  <c r="I22" i="8"/>
  <c r="K5" i="8"/>
  <c r="K15" i="8"/>
  <c r="K3" i="8"/>
  <c r="J16" i="8"/>
  <c r="I6" i="27"/>
  <c r="H6" i="27"/>
  <c r="J6" i="27"/>
  <c r="K17" i="23"/>
  <c r="K9" i="17"/>
  <c r="J43" i="4" l="1"/>
  <c r="I27" i="28"/>
  <c r="K32" i="35"/>
  <c r="K6" i="27"/>
  <c r="I27" i="16"/>
  <c r="H27" i="16"/>
  <c r="K27" i="16" s="1"/>
  <c r="K3" i="30"/>
  <c r="J10" i="12"/>
  <c r="J27" i="12" s="1"/>
  <c r="K10" i="12"/>
  <c r="I11" i="38"/>
  <c r="I36" i="38" s="1"/>
  <c r="H11" i="38"/>
  <c r="J11" i="38"/>
  <c r="H9" i="16"/>
  <c r="I9" i="16"/>
  <c r="J12" i="6"/>
  <c r="J21" i="6" s="1"/>
  <c r="I12" i="6"/>
  <c r="K12" i="6" s="1"/>
  <c r="H5" i="6"/>
  <c r="K5" i="6" s="1"/>
  <c r="K21" i="6" s="1"/>
  <c r="I5" i="6"/>
  <c r="H22" i="19"/>
  <c r="I22" i="19"/>
  <c r="I29" i="19" s="1"/>
  <c r="H8" i="24"/>
  <c r="I8" i="24"/>
  <c r="H5" i="26"/>
  <c r="K5" i="26" s="1"/>
  <c r="J5" i="26"/>
  <c r="J33" i="26" s="1"/>
  <c r="K23" i="35" s="1"/>
  <c r="K14" i="32"/>
  <c r="I10" i="13"/>
  <c r="K10" i="13" s="1"/>
  <c r="J10" i="13"/>
  <c r="J7" i="44"/>
  <c r="J29" i="44" s="1"/>
  <c r="H7" i="44"/>
  <c r="I7" i="44"/>
  <c r="K21" i="9"/>
  <c r="K5" i="22"/>
  <c r="K29" i="22" s="1"/>
  <c r="J30" i="22" s="1"/>
  <c r="H29" i="22"/>
  <c r="K17" i="19"/>
  <c r="K6" i="17"/>
  <c r="H27" i="15"/>
  <c r="H23" i="16"/>
  <c r="K23" i="16" s="1"/>
  <c r="H30" i="20"/>
  <c r="J16" i="21"/>
  <c r="K16" i="21" s="1"/>
  <c r="K16" i="35"/>
  <c r="J22" i="16"/>
  <c r="J34" i="16" s="1"/>
  <c r="I22" i="16"/>
  <c r="K9" i="32"/>
  <c r="K22" i="13"/>
  <c r="I26" i="3"/>
  <c r="K5" i="30"/>
  <c r="K3" i="28"/>
  <c r="K6" i="21"/>
  <c r="I11" i="8"/>
  <c r="H11" i="8"/>
  <c r="K11" i="8" s="1"/>
  <c r="H27" i="12"/>
  <c r="K7" i="12"/>
  <c r="I14" i="12"/>
  <c r="H14" i="12"/>
  <c r="K14" i="12" s="1"/>
  <c r="J9" i="15"/>
  <c r="J27" i="15" s="1"/>
  <c r="H9" i="15"/>
  <c r="K9" i="15" s="1"/>
  <c r="J16" i="38"/>
  <c r="H16" i="38"/>
  <c r="K16" i="38" s="1"/>
  <c r="I32" i="16"/>
  <c r="J32" i="16"/>
  <c r="H9" i="5"/>
  <c r="I9" i="5"/>
  <c r="I32" i="5" s="1"/>
  <c r="J21" i="35" s="1"/>
  <c r="H29" i="19"/>
  <c r="I13" i="35" s="1"/>
  <c r="H27" i="13"/>
  <c r="K27" i="13" s="1"/>
  <c r="I27" i="13"/>
  <c r="H37" i="4"/>
  <c r="I37" i="4"/>
  <c r="J37" i="4"/>
  <c r="J19" i="44"/>
  <c r="H19" i="44"/>
  <c r="K19" i="44" s="1"/>
  <c r="I19" i="44"/>
  <c r="I12" i="33"/>
  <c r="H12" i="33"/>
  <c r="K12" i="33" s="1"/>
  <c r="I32" i="35"/>
  <c r="J8" i="17"/>
  <c r="J34" i="17" s="1"/>
  <c r="I8" i="17"/>
  <c r="H8" i="17"/>
  <c r="K28" i="19"/>
  <c r="H27" i="28"/>
  <c r="I34" i="17"/>
  <c r="K8" i="15"/>
  <c r="K27" i="15" s="1"/>
  <c r="I28" i="15" s="1"/>
  <c r="J12" i="23"/>
  <c r="I12" i="23"/>
  <c r="J28" i="21"/>
  <c r="K26" i="8"/>
  <c r="H13" i="12"/>
  <c r="I13" i="12"/>
  <c r="I27" i="12" s="1"/>
  <c r="K14" i="38"/>
  <c r="K10" i="40"/>
  <c r="K36" i="40" s="1"/>
  <c r="H36" i="40"/>
  <c r="J36" i="40"/>
  <c r="K12" i="40"/>
  <c r="I14" i="6"/>
  <c r="J14" i="6"/>
  <c r="K14" i="6" s="1"/>
  <c r="K17" i="6"/>
  <c r="H21" i="23"/>
  <c r="I21" i="23"/>
  <c r="I33" i="11"/>
  <c r="H33" i="11"/>
  <c r="K33" i="11" s="1"/>
  <c r="H5" i="11"/>
  <c r="J5" i="11"/>
  <c r="J39" i="11" s="1"/>
  <c r="H30" i="27"/>
  <c r="K30" i="27" s="1"/>
  <c r="J30" i="27"/>
  <c r="I30" i="27"/>
  <c r="K26" i="11"/>
  <c r="I5" i="10"/>
  <c r="K5" i="10" s="1"/>
  <c r="J5" i="10"/>
  <c r="J34" i="10" s="1"/>
  <c r="K14" i="35" s="1"/>
  <c r="H9" i="4"/>
  <c r="I9" i="4"/>
  <c r="I29" i="22"/>
  <c r="J29" i="19"/>
  <c r="J20" i="20"/>
  <c r="J30" i="20" s="1"/>
  <c r="H21" i="6"/>
  <c r="K28" i="16"/>
  <c r="K13" i="32"/>
  <c r="K16" i="32"/>
  <c r="K26" i="13"/>
  <c r="K5" i="3"/>
  <c r="H25" i="26"/>
  <c r="K25" i="26" s="1"/>
  <c r="I26" i="24"/>
  <c r="H26" i="24"/>
  <c r="I20" i="23"/>
  <c r="J20" i="23"/>
  <c r="I15" i="10"/>
  <c r="J15" i="10"/>
  <c r="K8" i="8"/>
  <c r="H8" i="13"/>
  <c r="I8" i="13"/>
  <c r="I35" i="13" s="1"/>
  <c r="K3" i="38"/>
  <c r="I34" i="40"/>
  <c r="H34" i="40"/>
  <c r="K34" i="40" s="1"/>
  <c r="H11" i="21"/>
  <c r="I11" i="21"/>
  <c r="I28" i="21" s="1"/>
  <c r="K12" i="17"/>
  <c r="H34" i="38"/>
  <c r="I34" i="38"/>
  <c r="K19" i="40"/>
  <c r="I20" i="24"/>
  <c r="H20" i="24"/>
  <c r="H17" i="9"/>
  <c r="J17" i="9"/>
  <c r="J19" i="9"/>
  <c r="I19" i="9"/>
  <c r="H19" i="9"/>
  <c r="K19" i="9" s="1"/>
  <c r="I23" i="5"/>
  <c r="J23" i="5"/>
  <c r="I15" i="29"/>
  <c r="H15" i="29"/>
  <c r="K15" i="29" s="1"/>
  <c r="H7" i="30"/>
  <c r="J7" i="30"/>
  <c r="J31" i="30" s="1"/>
  <c r="I9" i="44"/>
  <c r="H9" i="44"/>
  <c r="K9" i="44" s="1"/>
  <c r="H23" i="33"/>
  <c r="I23" i="33"/>
  <c r="K11" i="13"/>
  <c r="K23" i="13"/>
  <c r="J20" i="4"/>
  <c r="I20" i="4"/>
  <c r="K20" i="4" s="1"/>
  <c r="K29" i="8"/>
  <c r="K6" i="8"/>
  <c r="H12" i="8"/>
  <c r="I12" i="8"/>
  <c r="I41" i="8" s="1"/>
  <c r="K13" i="40"/>
  <c r="K27" i="21"/>
  <c r="H7" i="24"/>
  <c r="I7" i="24"/>
  <c r="I18" i="24"/>
  <c r="H18" i="24"/>
  <c r="K18" i="24" s="1"/>
  <c r="K29" i="5"/>
  <c r="K6" i="44"/>
  <c r="H18" i="27"/>
  <c r="I18" i="27"/>
  <c r="I33" i="27" s="1"/>
  <c r="J28" i="27"/>
  <c r="H28" i="27"/>
  <c r="K28" i="27" s="1"/>
  <c r="I18" i="28"/>
  <c r="H18" i="28"/>
  <c r="K18" i="28" s="1"/>
  <c r="H13" i="29"/>
  <c r="I13" i="29"/>
  <c r="I22" i="29"/>
  <c r="H22" i="29"/>
  <c r="K22" i="29" s="1"/>
  <c r="I14" i="30"/>
  <c r="J14" i="30"/>
  <c r="K16" i="30"/>
  <c r="K11" i="32"/>
  <c r="K8" i="11"/>
  <c r="K15" i="38"/>
  <c r="K20" i="38"/>
  <c r="I36" i="40"/>
  <c r="K29" i="20"/>
  <c r="K3" i="44"/>
  <c r="H16" i="26"/>
  <c r="K16" i="26" s="1"/>
  <c r="I16" i="26"/>
  <c r="K30" i="8"/>
  <c r="K19" i="8"/>
  <c r="I14" i="13"/>
  <c r="K24" i="5"/>
  <c r="K10" i="21"/>
  <c r="K17" i="24"/>
  <c r="I7" i="9"/>
  <c r="I24" i="9" s="1"/>
  <c r="H7" i="9"/>
  <c r="K7" i="9" s="1"/>
  <c r="H6" i="9"/>
  <c r="J6" i="9"/>
  <c r="K22" i="3"/>
  <c r="J37" i="11"/>
  <c r="H37" i="11"/>
  <c r="K37" i="11" s="1"/>
  <c r="H24" i="27"/>
  <c r="I24" i="27"/>
  <c r="K24" i="28"/>
  <c r="K23" i="28"/>
  <c r="K16" i="28"/>
  <c r="K6" i="30"/>
  <c r="I35" i="4"/>
  <c r="H35" i="4"/>
  <c r="K35" i="4" s="1"/>
  <c r="J12" i="44"/>
  <c r="H12" i="44"/>
  <c r="K12" i="44" s="1"/>
  <c r="K7" i="33"/>
  <c r="K10" i="3"/>
  <c r="H18" i="16"/>
  <c r="K18" i="16" s="1"/>
  <c r="H5" i="24"/>
  <c r="I20" i="5"/>
  <c r="J20" i="5"/>
  <c r="K26" i="32"/>
  <c r="I6" i="25"/>
  <c r="H6" i="25"/>
  <c r="H38" i="25" s="1"/>
  <c r="H20" i="11"/>
  <c r="K20" i="11" s="1"/>
  <c r="I20" i="11"/>
  <c r="K14" i="11"/>
  <c r="I27" i="27"/>
  <c r="H27" i="27"/>
  <c r="K27" i="27" s="1"/>
  <c r="J22" i="27"/>
  <c r="J33" i="27" s="1"/>
  <c r="I22" i="27"/>
  <c r="K22" i="27" s="1"/>
  <c r="J25" i="29"/>
  <c r="H25" i="29"/>
  <c r="K25" i="29" s="1"/>
  <c r="I15" i="44"/>
  <c r="H15" i="44"/>
  <c r="K15" i="44" s="1"/>
  <c r="K13" i="8"/>
  <c r="I12" i="5"/>
  <c r="H12" i="5"/>
  <c r="K28" i="23"/>
  <c r="H21" i="11"/>
  <c r="I21" i="11"/>
  <c r="K38" i="11"/>
  <c r="I13" i="28"/>
  <c r="H13" i="28"/>
  <c r="K13" i="28" s="1"/>
  <c r="K27" i="30"/>
  <c r="K30" i="30"/>
  <c r="I18" i="44"/>
  <c r="J18" i="44"/>
  <c r="J20" i="33"/>
  <c r="I20" i="33"/>
  <c r="K20" i="33" s="1"/>
  <c r="J15" i="33"/>
  <c r="I15" i="33"/>
  <c r="K15" i="3"/>
  <c r="K8" i="26"/>
  <c r="K6" i="10"/>
  <c r="K34" i="8"/>
  <c r="K14" i="8"/>
  <c r="K25" i="8"/>
  <c r="K12" i="13"/>
  <c r="K14" i="13"/>
  <c r="J13" i="5"/>
  <c r="J32" i="5" s="1"/>
  <c r="I13" i="5"/>
  <c r="K20" i="28"/>
  <c r="H12" i="25"/>
  <c r="K12" i="25" s="1"/>
  <c r="I12" i="25"/>
  <c r="H28" i="29"/>
  <c r="K28" i="29" s="1"/>
  <c r="I28" i="29"/>
  <c r="J27" i="29"/>
  <c r="H27" i="29"/>
  <c r="K27" i="29" s="1"/>
  <c r="I11" i="44"/>
  <c r="J11" i="44"/>
  <c r="K13" i="44"/>
  <c r="I15" i="3"/>
  <c r="K15" i="26"/>
  <c r="K13" i="33"/>
  <c r="K22" i="33"/>
  <c r="K10" i="26"/>
  <c r="K9" i="33"/>
  <c r="K18" i="26"/>
  <c r="K20" i="26"/>
  <c r="K25" i="33"/>
  <c r="K6" i="32"/>
  <c r="K21" i="32"/>
  <c r="K7" i="32"/>
  <c r="K21" i="26"/>
  <c r="K4" i="32"/>
  <c r="H29" i="32"/>
  <c r="K22" i="32"/>
  <c r="J29" i="32"/>
  <c r="I8" i="32"/>
  <c r="I29" i="32" s="1"/>
  <c r="J22" i="32"/>
  <c r="J30" i="33"/>
  <c r="H17" i="33"/>
  <c r="K17" i="33" s="1"/>
  <c r="H15" i="33"/>
  <c r="K15" i="33" s="1"/>
  <c r="I3" i="33"/>
  <c r="I30" i="33" s="1"/>
  <c r="H21" i="33"/>
  <c r="K21" i="33" s="1"/>
  <c r="J14" i="33"/>
  <c r="K14" i="33" s="1"/>
  <c r="I11" i="33"/>
  <c r="K11" i="33" s="1"/>
  <c r="I26" i="26"/>
  <c r="K26" i="26" s="1"/>
  <c r="I7" i="26"/>
  <c r="I33" i="26" s="1"/>
  <c r="H4" i="26"/>
  <c r="K19" i="25"/>
  <c r="K23" i="25"/>
  <c r="K22" i="25"/>
  <c r="K21" i="25"/>
  <c r="K4" i="25"/>
  <c r="K25" i="25"/>
  <c r="J38" i="25"/>
  <c r="I38" i="25"/>
  <c r="K10" i="10"/>
  <c r="I34" i="10"/>
  <c r="J14" i="35" s="1"/>
  <c r="H29" i="10"/>
  <c r="K29" i="13"/>
  <c r="J35" i="13"/>
  <c r="K8" i="13"/>
  <c r="H35" i="13"/>
  <c r="H18" i="13"/>
  <c r="K18" i="13" s="1"/>
  <c r="K7" i="8"/>
  <c r="K9" i="8"/>
  <c r="E39" i="8"/>
  <c r="H28" i="8"/>
  <c r="I33" i="8"/>
  <c r="K33" i="8" s="1"/>
  <c r="J28" i="8"/>
  <c r="J41" i="8" s="1"/>
  <c r="E37" i="8"/>
  <c r="E36" i="8"/>
  <c r="K25" i="35" l="1"/>
  <c r="J17" i="35"/>
  <c r="I29" i="21"/>
  <c r="K28" i="35"/>
  <c r="J25" i="35"/>
  <c r="K29" i="19"/>
  <c r="H30" i="19" s="1"/>
  <c r="K30" i="35"/>
  <c r="J8" i="35"/>
  <c r="K10" i="35"/>
  <c r="J22" i="6"/>
  <c r="K11" i="35"/>
  <c r="J13" i="35"/>
  <c r="I12" i="35"/>
  <c r="H37" i="40"/>
  <c r="K9" i="35"/>
  <c r="I28" i="28"/>
  <c r="J26" i="35"/>
  <c r="K6" i="9"/>
  <c r="H24" i="9"/>
  <c r="H22" i="6"/>
  <c r="I11" i="35"/>
  <c r="K9" i="4"/>
  <c r="H43" i="4"/>
  <c r="K21" i="23"/>
  <c r="H33" i="23"/>
  <c r="I6" i="35"/>
  <c r="H28" i="15"/>
  <c r="K11" i="44"/>
  <c r="J20" i="35"/>
  <c r="I33" i="29"/>
  <c r="I29" i="24"/>
  <c r="H28" i="21"/>
  <c r="K11" i="21"/>
  <c r="K28" i="21" s="1"/>
  <c r="K15" i="10"/>
  <c r="K15" i="35"/>
  <c r="K27" i="28"/>
  <c r="J28" i="28" s="1"/>
  <c r="I26" i="35"/>
  <c r="I5" i="35"/>
  <c r="K27" i="12"/>
  <c r="I28" i="12" s="1"/>
  <c r="K8" i="24"/>
  <c r="K6" i="25"/>
  <c r="K13" i="29"/>
  <c r="H33" i="29"/>
  <c r="K7" i="24"/>
  <c r="K23" i="33"/>
  <c r="K13" i="35"/>
  <c r="J30" i="19"/>
  <c r="I33" i="23"/>
  <c r="K12" i="23"/>
  <c r="I34" i="16"/>
  <c r="K5" i="35"/>
  <c r="H30" i="33"/>
  <c r="J12" i="35"/>
  <c r="I37" i="40"/>
  <c r="K34" i="38"/>
  <c r="K36" i="38" s="1"/>
  <c r="I37" i="38" s="1"/>
  <c r="K20" i="23"/>
  <c r="J16" i="35"/>
  <c r="I30" i="22"/>
  <c r="J33" i="23"/>
  <c r="K9" i="5"/>
  <c r="H32" i="5"/>
  <c r="K6" i="35"/>
  <c r="J28" i="15"/>
  <c r="K22" i="19"/>
  <c r="K9" i="16"/>
  <c r="H34" i="16"/>
  <c r="K20" i="20"/>
  <c r="K30" i="20" s="1"/>
  <c r="I31" i="20" s="1"/>
  <c r="K5" i="24"/>
  <c r="H29" i="24"/>
  <c r="K18" i="44"/>
  <c r="K24" i="27"/>
  <c r="K12" i="8"/>
  <c r="J10" i="35"/>
  <c r="H33" i="27"/>
  <c r="H41" i="8"/>
  <c r="K21" i="11"/>
  <c r="K7" i="30"/>
  <c r="H31" i="30"/>
  <c r="K24" i="35"/>
  <c r="J29" i="21"/>
  <c r="K17" i="35"/>
  <c r="K29" i="35"/>
  <c r="K18" i="27"/>
  <c r="H39" i="11"/>
  <c r="J32" i="35"/>
  <c r="L32" i="35" s="1"/>
  <c r="K26" i="3"/>
  <c r="K21" i="35"/>
  <c r="K12" i="5"/>
  <c r="J33" i="29"/>
  <c r="I39" i="11"/>
  <c r="J24" i="9"/>
  <c r="K14" i="30"/>
  <c r="K17" i="9"/>
  <c r="K26" i="24"/>
  <c r="J5" i="35"/>
  <c r="K8" i="17"/>
  <c r="H34" i="17"/>
  <c r="K37" i="4"/>
  <c r="I15" i="35"/>
  <c r="I29" i="44"/>
  <c r="I21" i="6"/>
  <c r="J36" i="38"/>
  <c r="I31" i="30"/>
  <c r="H29" i="44"/>
  <c r="K20" i="24"/>
  <c r="I43" i="4"/>
  <c r="K12" i="35"/>
  <c r="J37" i="40"/>
  <c r="K13" i="12"/>
  <c r="K32" i="16"/>
  <c r="K22" i="16"/>
  <c r="H30" i="22"/>
  <c r="K30" i="22" s="1"/>
  <c r="I16" i="35"/>
  <c r="K7" i="44"/>
  <c r="K11" i="38"/>
  <c r="H36" i="38"/>
  <c r="K33" i="35"/>
  <c r="K8" i="32"/>
  <c r="I33" i="35"/>
  <c r="K31" i="35"/>
  <c r="I31" i="35"/>
  <c r="K30" i="33"/>
  <c r="K3" i="33"/>
  <c r="J23" i="35"/>
  <c r="K4" i="26"/>
  <c r="H33" i="26"/>
  <c r="K7" i="26"/>
  <c r="J22" i="35"/>
  <c r="K22" i="35"/>
  <c r="I22" i="35"/>
  <c r="K38" i="25"/>
  <c r="J39" i="25" s="1"/>
  <c r="H34" i="10"/>
  <c r="K29" i="10"/>
  <c r="I7" i="35"/>
  <c r="K35" i="13"/>
  <c r="H36" i="13" s="1"/>
  <c r="J7" i="35"/>
  <c r="K7" i="35"/>
  <c r="K4" i="35"/>
  <c r="J4" i="35"/>
  <c r="K28" i="8"/>
  <c r="I4" i="35"/>
  <c r="K41" i="8"/>
  <c r="H42" i="8" s="1"/>
  <c r="L7" i="35" l="1"/>
  <c r="L13" i="35"/>
  <c r="L26" i="35"/>
  <c r="H37" i="38"/>
  <c r="K37" i="38" s="1"/>
  <c r="I8" i="35"/>
  <c r="I30" i="35"/>
  <c r="K29" i="44"/>
  <c r="J30" i="44" s="1"/>
  <c r="H30" i="44"/>
  <c r="L15" i="35"/>
  <c r="K39" i="11"/>
  <c r="J40" i="11" s="1"/>
  <c r="I24" i="35"/>
  <c r="I25" i="35"/>
  <c r="L25" i="35" s="1"/>
  <c r="K33" i="27"/>
  <c r="H34" i="27" s="1"/>
  <c r="K29" i="24"/>
  <c r="J30" i="24" s="1"/>
  <c r="I19" i="35"/>
  <c r="J28" i="12"/>
  <c r="H29" i="21"/>
  <c r="K29" i="21" s="1"/>
  <c r="I17" i="35"/>
  <c r="L17" i="35" s="1"/>
  <c r="K28" i="15"/>
  <c r="I32" i="30"/>
  <c r="J28" i="35"/>
  <c r="J19" i="35"/>
  <c r="L6" i="35"/>
  <c r="K8" i="35"/>
  <c r="J37" i="38"/>
  <c r="I21" i="35"/>
  <c r="L21" i="35" s="1"/>
  <c r="K32" i="5"/>
  <c r="H33" i="5"/>
  <c r="J27" i="35"/>
  <c r="I18" i="35"/>
  <c r="J11" i="35"/>
  <c r="L11" i="35" s="1"/>
  <c r="I22" i="6"/>
  <c r="K22" i="6" s="1"/>
  <c r="K20" i="35"/>
  <c r="J31" i="20"/>
  <c r="I20" i="35"/>
  <c r="L20" i="35" s="1"/>
  <c r="K24" i="9"/>
  <c r="I25" i="9" s="1"/>
  <c r="L4" i="35"/>
  <c r="K18" i="35"/>
  <c r="I27" i="35"/>
  <c r="K33" i="29"/>
  <c r="I34" i="29" s="1"/>
  <c r="I10" i="35"/>
  <c r="L10" i="35" s="1"/>
  <c r="K34" i="17"/>
  <c r="H35" i="17" s="1"/>
  <c r="I28" i="35"/>
  <c r="K31" i="30"/>
  <c r="J32" i="30" s="1"/>
  <c r="H32" i="30"/>
  <c r="K32" i="30" s="1"/>
  <c r="J9" i="35"/>
  <c r="L16" i="35"/>
  <c r="J27" i="3"/>
  <c r="H27" i="3"/>
  <c r="H35" i="16"/>
  <c r="I9" i="35"/>
  <c r="H28" i="12"/>
  <c r="K28" i="12" s="1"/>
  <c r="K37" i="40"/>
  <c r="J29" i="35"/>
  <c r="I44" i="4"/>
  <c r="J30" i="35"/>
  <c r="J24" i="35"/>
  <c r="K34" i="16"/>
  <c r="J35" i="16" s="1"/>
  <c r="K33" i="23"/>
  <c r="H34" i="23" s="1"/>
  <c r="L5" i="35"/>
  <c r="K43" i="4"/>
  <c r="J44" i="4" s="1"/>
  <c r="I29" i="35"/>
  <c r="H44" i="4"/>
  <c r="K44" i="4" s="1"/>
  <c r="L12" i="35"/>
  <c r="H31" i="20"/>
  <c r="K31" i="20" s="1"/>
  <c r="J34" i="29"/>
  <c r="K27" i="35"/>
  <c r="I27" i="3"/>
  <c r="J18" i="35"/>
  <c r="I34" i="23"/>
  <c r="H28" i="28"/>
  <c r="K28" i="28" s="1"/>
  <c r="I30" i="19"/>
  <c r="K30" i="19" s="1"/>
  <c r="J33" i="35"/>
  <c r="L33" i="35" s="1"/>
  <c r="K29" i="32"/>
  <c r="I30" i="32" s="1"/>
  <c r="J31" i="33"/>
  <c r="H31" i="33"/>
  <c r="J31" i="35"/>
  <c r="L31" i="35" s="1"/>
  <c r="I31" i="33"/>
  <c r="K33" i="26"/>
  <c r="H34" i="26" s="1"/>
  <c r="I23" i="35"/>
  <c r="L23" i="35" s="1"/>
  <c r="H39" i="25"/>
  <c r="K39" i="25" s="1"/>
  <c r="I39" i="25"/>
  <c r="L22" i="35"/>
  <c r="K34" i="10"/>
  <c r="H35" i="10" s="1"/>
  <c r="I14" i="35"/>
  <c r="L14" i="35" s="1"/>
  <c r="I36" i="13"/>
  <c r="K36" i="13" s="1"/>
  <c r="J36" i="13"/>
  <c r="I42" i="8"/>
  <c r="K42" i="8" s="1"/>
  <c r="J42" i="8"/>
  <c r="L9" i="35" l="1"/>
  <c r="L28" i="35"/>
  <c r="L18" i="35"/>
  <c r="K27" i="3"/>
  <c r="L27" i="35"/>
  <c r="H25" i="9"/>
  <c r="I33" i="5"/>
  <c r="J33" i="5"/>
  <c r="K33" i="5" s="1"/>
  <c r="I30" i="24"/>
  <c r="K35" i="16"/>
  <c r="H34" i="29"/>
  <c r="K34" i="29" s="1"/>
  <c r="I40" i="11"/>
  <c r="J34" i="23"/>
  <c r="K34" i="23" s="1"/>
  <c r="I34" i="27"/>
  <c r="K34" i="27" s="1"/>
  <c r="J34" i="27"/>
  <c r="L29" i="35"/>
  <c r="I35" i="16"/>
  <c r="J35" i="17"/>
  <c r="I35" i="17"/>
  <c r="K35" i="17" s="1"/>
  <c r="J25" i="9"/>
  <c r="L19" i="35"/>
  <c r="L24" i="35"/>
  <c r="L30" i="35"/>
  <c r="I30" i="44"/>
  <c r="K30" i="44" s="1"/>
  <c r="H30" i="24"/>
  <c r="H40" i="11"/>
  <c r="K40" i="11" s="1"/>
  <c r="L8" i="35"/>
  <c r="J30" i="32"/>
  <c r="H30" i="32"/>
  <c r="K31" i="33"/>
  <c r="J34" i="26"/>
  <c r="I34" i="26"/>
  <c r="K34" i="26" s="1"/>
  <c r="I35" i="10"/>
  <c r="K35" i="10" s="1"/>
  <c r="J35" i="10"/>
  <c r="K30" i="24" l="1"/>
  <c r="K25" i="9"/>
  <c r="K30" i="32"/>
</calcChain>
</file>

<file path=xl/sharedStrings.xml><?xml version="1.0" encoding="utf-8"?>
<sst xmlns="http://schemas.openxmlformats.org/spreadsheetml/2006/main" count="2833" uniqueCount="846">
  <si>
    <t>早點</t>
    <phoneticPr fontId="3" type="noConversion"/>
  </si>
  <si>
    <t>午餐</t>
    <phoneticPr fontId="3" type="noConversion"/>
  </si>
  <si>
    <t>午點</t>
    <phoneticPr fontId="3" type="noConversion"/>
  </si>
  <si>
    <t>主食</t>
    <phoneticPr fontId="3" type="noConversion"/>
  </si>
  <si>
    <t>主菜</t>
    <phoneticPr fontId="3" type="noConversion"/>
  </si>
  <si>
    <t>副菜一</t>
    <phoneticPr fontId="3" type="noConversion"/>
  </si>
  <si>
    <t>副菜二</t>
    <phoneticPr fontId="3" type="noConversion"/>
  </si>
  <si>
    <t>湯</t>
    <phoneticPr fontId="3" type="noConversion"/>
  </si>
  <si>
    <t>水果</t>
    <phoneticPr fontId="3" type="noConversion"/>
  </si>
  <si>
    <t>蘿蔔糕湯</t>
    <phoneticPr fontId="3" type="noConversion"/>
  </si>
  <si>
    <t>鮮奶</t>
    <phoneticPr fontId="3" type="noConversion"/>
  </si>
  <si>
    <t>小魚粥</t>
    <phoneticPr fontId="3" type="noConversion"/>
  </si>
  <si>
    <t>蕎麥小米飯</t>
    <phoneticPr fontId="3" type="noConversion"/>
  </si>
  <si>
    <t>蒸蛋</t>
    <phoneticPr fontId="3" type="noConversion"/>
  </si>
  <si>
    <t>小白菜</t>
    <phoneticPr fontId="3" type="noConversion"/>
  </si>
  <si>
    <t>紫菜蛋花湯</t>
    <phoneticPr fontId="3" type="noConversion"/>
  </si>
  <si>
    <t>日期</t>
  </si>
  <si>
    <t>菜 單</t>
  </si>
  <si>
    <t>材料名稱</t>
  </si>
  <si>
    <t>蝦米</t>
    <phoneticPr fontId="3" type="noConversion"/>
  </si>
  <si>
    <t>1人g</t>
    <phoneticPr fontId="3" type="noConversion"/>
  </si>
  <si>
    <t>乾香菇</t>
    <phoneticPr fontId="3" type="noConversion"/>
  </si>
  <si>
    <t>芹菜</t>
    <phoneticPr fontId="3" type="noConversion"/>
  </si>
  <si>
    <t>大骨</t>
    <phoneticPr fontId="3" type="noConversion"/>
  </si>
  <si>
    <t>*</t>
    <phoneticPr fontId="3" type="noConversion"/>
  </si>
  <si>
    <t>柴魚片</t>
    <phoneticPr fontId="3" type="noConversion"/>
  </si>
  <si>
    <t>蕎麥</t>
    <phoneticPr fontId="3" type="noConversion"/>
  </si>
  <si>
    <t>小米</t>
    <phoneticPr fontId="3" type="noConversion"/>
  </si>
  <si>
    <t>白米</t>
    <phoneticPr fontId="3" type="noConversion"/>
  </si>
  <si>
    <t>洋芋丁</t>
    <phoneticPr fontId="3" type="noConversion"/>
  </si>
  <si>
    <t>雞胸肉</t>
    <phoneticPr fontId="3" type="noConversion"/>
  </si>
  <si>
    <r>
      <t>洋蔥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切末</t>
    </r>
    <phoneticPr fontId="3" type="noConversion"/>
  </si>
  <si>
    <t>青蔥</t>
    <phoneticPr fontId="3" type="noConversion"/>
  </si>
  <si>
    <t>紅蘿蔔末</t>
    <phoneticPr fontId="3" type="noConversion"/>
  </si>
  <si>
    <t>蒜仁</t>
    <phoneticPr fontId="3" type="noConversion"/>
  </si>
  <si>
    <t>芹菜末</t>
    <phoneticPr fontId="3" type="noConversion"/>
  </si>
  <si>
    <t>紅蘿蔔絲</t>
    <phoneticPr fontId="3" type="noConversion"/>
  </si>
  <si>
    <t>薑末</t>
    <phoneticPr fontId="3" type="noConversion"/>
  </si>
  <si>
    <t>九層塔</t>
    <phoneticPr fontId="3" type="noConversion"/>
  </si>
  <si>
    <t>太白粉</t>
    <phoneticPr fontId="3" type="noConversion"/>
  </si>
  <si>
    <r>
      <t>1</t>
    </r>
    <r>
      <rPr>
        <sz val="12"/>
        <rFont val="新細明體"/>
        <family val="1"/>
        <charset val="136"/>
      </rPr>
      <t>瓶</t>
    </r>
    <phoneticPr fontId="3" type="noConversion"/>
  </si>
  <si>
    <t>洋芋濃湯</t>
    <phoneticPr fontId="3" type="noConversion"/>
  </si>
  <si>
    <t>雞骨</t>
    <phoneticPr fontId="3" type="noConversion"/>
  </si>
  <si>
    <t>碎培根</t>
    <phoneticPr fontId="3" type="noConversion"/>
  </si>
  <si>
    <t>土司</t>
    <phoneticPr fontId="3" type="noConversion"/>
  </si>
  <si>
    <r>
      <t>土司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小</t>
    </r>
    <phoneticPr fontId="3" type="noConversion"/>
  </si>
  <si>
    <r>
      <t>1</t>
    </r>
    <r>
      <rPr>
        <sz val="12"/>
        <rFont val="新細明體"/>
        <family val="1"/>
        <charset val="136"/>
      </rPr>
      <t>片</t>
    </r>
    <phoneticPr fontId="3" type="noConversion"/>
  </si>
  <si>
    <t>五彩蝦仁</t>
    <phoneticPr fontId="3" type="noConversion"/>
  </si>
  <si>
    <t>蝦仁</t>
    <phoneticPr fontId="3" type="noConversion"/>
  </si>
  <si>
    <t>青椒</t>
    <phoneticPr fontId="3" type="noConversion"/>
  </si>
  <si>
    <t>紅甜椒</t>
    <phoneticPr fontId="3" type="noConversion"/>
  </si>
  <si>
    <t>黃甜椒</t>
    <phoneticPr fontId="3" type="noConversion"/>
  </si>
  <si>
    <t>蒜末</t>
    <phoneticPr fontId="3" type="noConversion"/>
  </si>
  <si>
    <t>洋蔥</t>
    <phoneticPr fontId="3" type="noConversion"/>
  </si>
  <si>
    <t>蔥燒嫩豆腐</t>
    <phoneticPr fontId="3" type="noConversion"/>
  </si>
  <si>
    <t>嫩豆腐</t>
    <phoneticPr fontId="3" type="noConversion"/>
  </si>
  <si>
    <t>迷迭香雞湯</t>
    <phoneticPr fontId="3" type="noConversion"/>
  </si>
  <si>
    <t>雞胸片</t>
    <phoneticPr fontId="3" type="noConversion"/>
  </si>
  <si>
    <t>乾燥迷迭香</t>
    <phoneticPr fontId="3" type="noConversion"/>
  </si>
  <si>
    <t>薑絲</t>
    <phoneticPr fontId="3" type="noConversion"/>
  </si>
  <si>
    <r>
      <t>1</t>
    </r>
    <r>
      <rPr>
        <sz val="12"/>
        <rFont val="新細明體"/>
        <family val="1"/>
        <charset val="136"/>
      </rPr>
      <t>個</t>
    </r>
    <phoneticPr fontId="3" type="noConversion"/>
  </si>
  <si>
    <t>沙拉油</t>
    <phoneticPr fontId="3" type="noConversion"/>
  </si>
  <si>
    <t>絲瓜麵線</t>
    <phoneticPr fontId="3" type="noConversion"/>
  </si>
  <si>
    <t>絲瓜</t>
    <phoneticPr fontId="3" type="noConversion"/>
  </si>
  <si>
    <t>胡麻油</t>
    <phoneticPr fontId="3" type="noConversion"/>
  </si>
  <si>
    <t>茄汁里肌</t>
    <phoneticPr fontId="3" type="noConversion"/>
  </si>
  <si>
    <r>
      <t>小里肌</t>
    </r>
    <r>
      <rPr>
        <sz val="12"/>
        <rFont val="Times New Roman"/>
        <family val="1"/>
      </rPr>
      <t>--</t>
    </r>
    <r>
      <rPr>
        <sz val="12"/>
        <rFont val="新細明體"/>
        <family val="1"/>
        <charset val="136"/>
      </rPr>
      <t>切片</t>
    </r>
    <phoneticPr fontId="3" type="noConversion"/>
  </si>
  <si>
    <t>洋蔥絲</t>
    <phoneticPr fontId="3" type="noConversion"/>
  </si>
  <si>
    <t>蔥段</t>
    <phoneticPr fontId="3" type="noConversion"/>
  </si>
  <si>
    <t>韭黃雞絲</t>
    <phoneticPr fontId="3" type="noConversion"/>
  </si>
  <si>
    <t>韭黃</t>
    <phoneticPr fontId="3" type="noConversion"/>
  </si>
  <si>
    <t>鮮香菇</t>
    <phoneticPr fontId="3" type="noConversion"/>
  </si>
  <si>
    <t>薑片</t>
    <phoneticPr fontId="3" type="noConversion"/>
  </si>
  <si>
    <t>薑絲魚生湯</t>
    <phoneticPr fontId="3" type="noConversion"/>
  </si>
  <si>
    <t>麥芽牛奶</t>
    <phoneticPr fontId="3" type="noConversion"/>
  </si>
  <si>
    <t>奶</t>
    <phoneticPr fontId="3" type="noConversion"/>
  </si>
  <si>
    <t>小餐包</t>
    <phoneticPr fontId="3" type="noConversion"/>
  </si>
  <si>
    <t>糖</t>
    <phoneticPr fontId="3" type="noConversion"/>
  </si>
  <si>
    <r>
      <t>1</t>
    </r>
    <r>
      <rPr>
        <sz val="12"/>
        <color indexed="8"/>
        <rFont val="新細明體"/>
        <family val="1"/>
        <charset val="136"/>
      </rPr>
      <t>瓶</t>
    </r>
    <phoneticPr fontId="3" type="noConversion"/>
  </si>
  <si>
    <t>高麗菜</t>
    <phoneticPr fontId="3" type="noConversion"/>
  </si>
  <si>
    <t>低脂絞肉</t>
    <phoneticPr fontId="3" type="noConversion"/>
  </si>
  <si>
    <t>菜</t>
    <phoneticPr fontId="3" type="noConversion"/>
  </si>
  <si>
    <t>玉米濃湯</t>
    <phoneticPr fontId="3" type="noConversion"/>
  </si>
  <si>
    <t>奶油</t>
    <phoneticPr fontId="3" type="noConversion"/>
  </si>
  <si>
    <t>紅豆</t>
    <phoneticPr fontId="3" type="noConversion"/>
  </si>
  <si>
    <t>紫糯米</t>
    <phoneticPr fontId="3" type="noConversion"/>
  </si>
  <si>
    <t>圓糯米</t>
    <phoneticPr fontId="3" type="noConversion"/>
  </si>
  <si>
    <t>二砂糖</t>
    <phoneticPr fontId="3" type="noConversion"/>
  </si>
  <si>
    <t>主</t>
    <phoneticPr fontId="3" type="noConversion"/>
  </si>
  <si>
    <t>皮蛋肉粥</t>
    <phoneticPr fontId="3" type="noConversion"/>
  </si>
  <si>
    <t>皮蛋</t>
    <phoneticPr fontId="3" type="noConversion"/>
  </si>
  <si>
    <t>薑燒魚丁</t>
    <phoneticPr fontId="3" type="noConversion"/>
  </si>
  <si>
    <t>旗魚塊</t>
    <phoneticPr fontId="3" type="noConversion"/>
  </si>
  <si>
    <t>咖哩洋芋</t>
    <phoneticPr fontId="3" type="noConversion"/>
  </si>
  <si>
    <t>紅蘿蔔小丁</t>
    <phoneticPr fontId="3" type="noConversion"/>
  </si>
  <si>
    <t>白菜</t>
    <phoneticPr fontId="3" type="noConversion"/>
  </si>
  <si>
    <t>金針菇</t>
    <phoneticPr fontId="3" type="noConversion"/>
  </si>
  <si>
    <t>豆腐羹</t>
    <phoneticPr fontId="3" type="noConversion"/>
  </si>
  <si>
    <t>豆腐</t>
    <phoneticPr fontId="3" type="noConversion"/>
  </si>
  <si>
    <t>絞雞胸肉</t>
    <phoneticPr fontId="3" type="noConversion"/>
  </si>
  <si>
    <t>香油</t>
    <phoneticPr fontId="3" type="noConversion"/>
  </si>
  <si>
    <t>三杯雞</t>
    <phoneticPr fontId="3" type="noConversion"/>
  </si>
  <si>
    <t>雞胸丁</t>
    <phoneticPr fontId="3" type="noConversion"/>
  </si>
  <si>
    <t>魚香茄子</t>
    <phoneticPr fontId="3" type="noConversion"/>
  </si>
  <si>
    <t>茄子</t>
    <phoneticPr fontId="3" type="noConversion"/>
  </si>
  <si>
    <t>紫菜</t>
    <phoneticPr fontId="3" type="noConversion"/>
  </si>
  <si>
    <t>米</t>
    <phoneticPr fontId="3" type="noConversion"/>
  </si>
  <si>
    <t>小魚</t>
    <phoneticPr fontId="3" type="noConversion"/>
  </si>
  <si>
    <t>蒸肉餅</t>
    <phoneticPr fontId="3" type="noConversion"/>
  </si>
  <si>
    <t>豆薯</t>
    <phoneticPr fontId="3" type="noConversion"/>
  </si>
  <si>
    <t>油</t>
    <phoneticPr fontId="3" type="noConversion"/>
  </si>
  <si>
    <t>香菜</t>
    <phoneticPr fontId="3" type="noConversion"/>
  </si>
  <si>
    <t>肉</t>
    <phoneticPr fontId="3" type="noConversion"/>
  </si>
  <si>
    <t>蕃茄</t>
    <phoneticPr fontId="3" type="noConversion"/>
  </si>
  <si>
    <t>大黃瓜</t>
    <phoneticPr fontId="3" type="noConversion"/>
  </si>
  <si>
    <t>鮮菇雞絲湯</t>
    <phoneticPr fontId="3" type="noConversion"/>
  </si>
  <si>
    <t>鮮筍絲</t>
    <phoneticPr fontId="3" type="noConversion"/>
  </si>
  <si>
    <t>鮮香菇絲</t>
    <phoneticPr fontId="3" type="noConversion"/>
  </si>
  <si>
    <t>雞胸肉絲</t>
    <phoneticPr fontId="3" type="noConversion"/>
  </si>
  <si>
    <t>鮭魚炒飯</t>
    <phoneticPr fontId="3" type="noConversion"/>
  </si>
  <si>
    <t>鮭魚肉</t>
    <phoneticPr fontId="3" type="noConversion"/>
  </si>
  <si>
    <t>大蘆筍</t>
    <phoneticPr fontId="3" type="noConversion"/>
  </si>
  <si>
    <t>鮑菇</t>
    <phoneticPr fontId="3" type="noConversion"/>
  </si>
  <si>
    <t>味噌湯</t>
    <phoneticPr fontId="3" type="noConversion"/>
  </si>
  <si>
    <t>柴魚</t>
    <phoneticPr fontId="3" type="noConversion"/>
  </si>
  <si>
    <t>玉米筍丁</t>
    <phoneticPr fontId="3" type="noConversion"/>
  </si>
  <si>
    <t>熱量</t>
    <phoneticPr fontId="3" type="noConversion"/>
  </si>
  <si>
    <t>玉米粒</t>
    <phoneticPr fontId="3" type="noConversion"/>
  </si>
  <si>
    <t>奶酪</t>
    <phoneticPr fontId="3" type="noConversion"/>
  </si>
  <si>
    <t>低脂鮮奶</t>
    <phoneticPr fontId="3" type="noConversion"/>
  </si>
  <si>
    <t>分類</t>
    <phoneticPr fontId="3" type="noConversion"/>
  </si>
  <si>
    <t>採購量kg</t>
    <phoneticPr fontId="3" type="noConversion"/>
  </si>
  <si>
    <t>份數</t>
    <phoneticPr fontId="3" type="noConversion"/>
  </si>
  <si>
    <t>蛋白質</t>
    <phoneticPr fontId="3" type="noConversion"/>
  </si>
  <si>
    <t>醣類</t>
    <phoneticPr fontId="3" type="noConversion"/>
  </si>
  <si>
    <t>脂肪</t>
    <phoneticPr fontId="3" type="noConversion"/>
  </si>
  <si>
    <t>蘿蔔糕</t>
    <phoneticPr fontId="3" type="noConversion"/>
  </si>
  <si>
    <t>水</t>
    <phoneticPr fontId="3" type="noConversion"/>
  </si>
  <si>
    <t>洋芋雞蓉</t>
    <phoneticPr fontId="3" type="noConversion"/>
  </si>
  <si>
    <t>莧菜小魚羹</t>
    <phoneticPr fontId="3" type="noConversion"/>
  </si>
  <si>
    <t>莧菜</t>
    <phoneticPr fontId="3" type="noConversion"/>
  </si>
  <si>
    <t>高鈣牛奶</t>
    <phoneticPr fontId="3" type="noConversion"/>
  </si>
  <si>
    <t>鮪魚三明治</t>
    <phoneticPr fontId="3" type="noConversion"/>
  </si>
  <si>
    <t>胚芽米飯</t>
    <phoneticPr fontId="3" type="noConversion"/>
  </si>
  <si>
    <t>鮮菇湯</t>
    <phoneticPr fontId="3" type="noConversion"/>
  </si>
  <si>
    <t>草莓土司</t>
    <phoneticPr fontId="3" type="noConversion"/>
  </si>
  <si>
    <t>燕麥飯</t>
    <phoneticPr fontId="3" type="noConversion"/>
  </si>
  <si>
    <t>麵輪燒肉</t>
    <phoneticPr fontId="3" type="noConversion"/>
  </si>
  <si>
    <t>銀魚莧菜湯</t>
    <phoneticPr fontId="3" type="noConversion"/>
  </si>
  <si>
    <t>蚵仔麵線</t>
    <phoneticPr fontId="3" type="noConversion"/>
  </si>
  <si>
    <t>營養分析</t>
    <phoneticPr fontId="3" type="noConversion"/>
  </si>
  <si>
    <t>豆</t>
    <phoneticPr fontId="3" type="noConversion"/>
  </si>
  <si>
    <t>公克</t>
    <phoneticPr fontId="3" type="noConversion"/>
  </si>
  <si>
    <t>卡</t>
    <phoneticPr fontId="3" type="noConversion"/>
  </si>
  <si>
    <t>飯半碗</t>
    <phoneticPr fontId="3" type="noConversion"/>
  </si>
  <si>
    <t>地瓜丁飯半碗</t>
    <phoneticPr fontId="3" type="noConversion"/>
  </si>
  <si>
    <t>玉米絞肉</t>
    <phoneticPr fontId="3" type="noConversion"/>
  </si>
  <si>
    <t>蒸南瓜包</t>
    <phoneticPr fontId="3" type="noConversion"/>
  </si>
  <si>
    <t>冬瓜湯</t>
    <phoneticPr fontId="3" type="noConversion"/>
  </si>
  <si>
    <t>豆乾炒小黃瓜</t>
    <phoneticPr fontId="3" type="noConversion"/>
  </si>
  <si>
    <t>蔬菜湯</t>
    <phoneticPr fontId="3" type="noConversion"/>
  </si>
  <si>
    <t>珍菇三絲湯</t>
    <phoneticPr fontId="3" type="noConversion"/>
  </si>
  <si>
    <t>烤小翅腿</t>
    <phoneticPr fontId="3" type="noConversion"/>
  </si>
  <si>
    <t>早餐穀片</t>
    <phoneticPr fontId="3" type="noConversion"/>
  </si>
  <si>
    <t>雞絲麵線</t>
    <phoneticPr fontId="3" type="noConversion"/>
  </si>
  <si>
    <t>蛤利薑絲湯</t>
    <phoneticPr fontId="3" type="noConversion"/>
  </si>
  <si>
    <t>白飯半碗</t>
    <phoneticPr fontId="3" type="noConversion"/>
  </si>
  <si>
    <t>清蒸鱈魚</t>
    <phoneticPr fontId="3" type="noConversion"/>
  </si>
  <si>
    <t>三色炒蛋</t>
    <phoneticPr fontId="3" type="noConversion"/>
  </si>
  <si>
    <t>芋圓地瓜湯</t>
    <phoneticPr fontId="3" type="noConversion"/>
  </si>
  <si>
    <t>軟溜雞丁</t>
    <phoneticPr fontId="3" type="noConversion"/>
  </si>
  <si>
    <t>捲型果醬起絲土司</t>
    <phoneticPr fontId="3" type="noConversion"/>
  </si>
  <si>
    <t>玉米脆片</t>
    <phoneticPr fontId="3" type="noConversion"/>
  </si>
  <si>
    <t>瓜仔肉燥</t>
    <phoneticPr fontId="3" type="noConversion"/>
  </si>
  <si>
    <t>番茄炒蛋</t>
    <phoneticPr fontId="3" type="noConversion"/>
  </si>
  <si>
    <t>絲瓜蛤蜊湯</t>
    <phoneticPr fontId="3" type="noConversion"/>
  </si>
  <si>
    <t>三杯透抽</t>
    <phoneticPr fontId="3" type="noConversion"/>
  </si>
  <si>
    <t>滷白菜</t>
    <phoneticPr fontId="3" type="noConversion"/>
  </si>
  <si>
    <t>菱角排骨湯</t>
    <phoneticPr fontId="3" type="noConversion"/>
  </si>
  <si>
    <t>什錦蒟蒻</t>
    <phoneticPr fontId="3" type="noConversion"/>
  </si>
  <si>
    <t>香煎潮雕魚</t>
    <phoneticPr fontId="3" type="noConversion"/>
  </si>
  <si>
    <t>冬瓜干貝湯</t>
    <phoneticPr fontId="3" type="noConversion"/>
  </si>
  <si>
    <t>少許</t>
    <phoneticPr fontId="3" type="noConversion"/>
  </si>
  <si>
    <t>葵花油</t>
    <phoneticPr fontId="3" type="noConversion"/>
  </si>
  <si>
    <t>雞蛋</t>
    <phoneticPr fontId="3" type="noConversion"/>
  </si>
  <si>
    <t>二砂</t>
    <phoneticPr fontId="3" type="noConversion"/>
  </si>
  <si>
    <t>採購量計算</t>
    <phoneticPr fontId="3" type="noConversion"/>
  </si>
  <si>
    <t>輸入人數＝</t>
    <phoneticPr fontId="3" type="noConversion"/>
  </si>
  <si>
    <t>人</t>
    <phoneticPr fontId="3" type="noConversion"/>
  </si>
  <si>
    <r>
      <t>蛋白質</t>
    </r>
    <r>
      <rPr>
        <sz val="12"/>
        <color indexed="57"/>
        <rFont val="Times New Roman"/>
        <family val="1"/>
      </rPr>
      <t>(g)</t>
    </r>
    <phoneticPr fontId="3" type="noConversion"/>
  </si>
  <si>
    <r>
      <t>醣類</t>
    </r>
    <r>
      <rPr>
        <sz val="12"/>
        <color indexed="57"/>
        <rFont val="Times New Roman"/>
        <family val="1"/>
      </rPr>
      <t>(g)</t>
    </r>
    <phoneticPr fontId="3" type="noConversion"/>
  </si>
  <si>
    <r>
      <t>脂肪</t>
    </r>
    <r>
      <rPr>
        <sz val="12"/>
        <color indexed="57"/>
        <rFont val="Times New Roman"/>
        <family val="1"/>
      </rPr>
      <t>(g)</t>
    </r>
    <phoneticPr fontId="3" type="noConversion"/>
  </si>
  <si>
    <r>
      <t>熱量</t>
    </r>
    <r>
      <rPr>
        <sz val="12"/>
        <color indexed="57"/>
        <rFont val="Times New Roman"/>
        <family val="1"/>
      </rPr>
      <t>(</t>
    </r>
    <r>
      <rPr>
        <sz val="12"/>
        <color indexed="57"/>
        <rFont val="新細明體"/>
        <family val="1"/>
        <charset val="136"/>
      </rPr>
      <t>卡</t>
    </r>
    <r>
      <rPr>
        <sz val="12"/>
        <color indexed="57"/>
        <rFont val="Times New Roman"/>
        <family val="1"/>
      </rPr>
      <t>)</t>
    </r>
    <phoneticPr fontId="3" type="noConversion"/>
  </si>
  <si>
    <t>地瓜</t>
    <phoneticPr fontId="3" type="noConversion"/>
  </si>
  <si>
    <t>後腿瘦肉絲</t>
    <phoneticPr fontId="3" type="noConversion"/>
  </si>
  <si>
    <t>芥花油</t>
    <phoneticPr fontId="3" type="noConversion"/>
  </si>
  <si>
    <t>地瓜粉</t>
    <phoneticPr fontId="3" type="noConversion"/>
  </si>
  <si>
    <t>南瓜</t>
    <phoneticPr fontId="3" type="noConversion"/>
  </si>
  <si>
    <r>
      <t>芹菜紅蘿蔔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切末</t>
    </r>
    <phoneticPr fontId="3" type="noConversion"/>
  </si>
  <si>
    <t>冬瓜</t>
    <phoneticPr fontId="3" type="noConversion"/>
  </si>
  <si>
    <t>大骨切</t>
    <phoneticPr fontId="3" type="noConversion"/>
  </si>
  <si>
    <t>蔬菜蛋捲</t>
    <phoneticPr fontId="3" type="noConversion"/>
  </si>
  <si>
    <t>中筋麵粉</t>
    <phoneticPr fontId="3" type="noConversion"/>
  </si>
  <si>
    <t>蔬菜</t>
    <phoneticPr fontId="3" type="noConversion"/>
  </si>
  <si>
    <t>自榨製蘋果汁</t>
    <phoneticPr fontId="3" type="noConversion"/>
  </si>
  <si>
    <t>蘋果</t>
    <phoneticPr fontId="3" type="noConversion"/>
  </si>
  <si>
    <t>即食麥片</t>
    <phoneticPr fontId="3" type="noConversion"/>
  </si>
  <si>
    <t>蒸鮭魚嫩豆腐</t>
    <phoneticPr fontId="3" type="noConversion"/>
  </si>
  <si>
    <t>鮭魚</t>
    <phoneticPr fontId="3" type="noConversion"/>
  </si>
  <si>
    <t>盒裝嫩豆腐</t>
    <phoneticPr fontId="3" type="noConversion"/>
  </si>
  <si>
    <t>加鹽米酒</t>
    <phoneticPr fontId="3" type="noConversion"/>
  </si>
  <si>
    <t>蔥絲</t>
    <phoneticPr fontId="3" type="noConversion"/>
  </si>
  <si>
    <t>五香豆乾</t>
    <phoneticPr fontId="3" type="noConversion"/>
  </si>
  <si>
    <t>小黃瓜</t>
    <phoneticPr fontId="3" type="noConversion"/>
  </si>
  <si>
    <t>甜不辣蘿蔔湯</t>
    <phoneticPr fontId="3" type="noConversion"/>
  </si>
  <si>
    <t>甜不辣</t>
    <phoneticPr fontId="3" type="noConversion"/>
  </si>
  <si>
    <t>白蘿蔔</t>
    <phoneticPr fontId="3" type="noConversion"/>
  </si>
  <si>
    <t>各總顏色玻梨紙</t>
    <phoneticPr fontId="3" type="noConversion"/>
  </si>
  <si>
    <t>保鮮模</t>
    <phoneticPr fontId="3" type="noConversion"/>
  </si>
  <si>
    <t>去邊土司</t>
    <phoneticPr fontId="3" type="noConversion"/>
  </si>
  <si>
    <r>
      <t>1</t>
    </r>
    <r>
      <rPr>
        <sz val="12"/>
        <color indexed="8"/>
        <rFont val="細明體"/>
        <family val="3"/>
        <charset val="136"/>
      </rPr>
      <t>片</t>
    </r>
    <phoneticPr fontId="3" type="noConversion"/>
  </si>
  <si>
    <t>草莓果醬</t>
    <phoneticPr fontId="3" type="noConversion"/>
  </si>
  <si>
    <r>
      <t>低脂鮮奶</t>
    </r>
    <r>
      <rPr>
        <sz val="12"/>
        <rFont val="Times New Roman"/>
        <family val="1"/>
      </rPr>
      <t>1/2</t>
    </r>
    <r>
      <rPr>
        <sz val="12"/>
        <rFont val="華康細圓體"/>
        <family val="3"/>
        <charset val="136"/>
      </rPr>
      <t>杯</t>
    </r>
    <phoneticPr fontId="3" type="noConversion"/>
  </si>
  <si>
    <t>馬鈴薯</t>
    <phoneticPr fontId="3" type="noConversion"/>
  </si>
  <si>
    <t>紅蘿蔔</t>
    <phoneticPr fontId="3" type="noConversion"/>
  </si>
  <si>
    <t>蔥</t>
    <phoneticPr fontId="3" type="noConversion"/>
  </si>
  <si>
    <t>蒜</t>
    <phoneticPr fontId="3" type="noConversion"/>
  </si>
  <si>
    <t>大蕃茄</t>
    <phoneticPr fontId="3" type="noConversion"/>
  </si>
  <si>
    <t>蒜苗</t>
    <phoneticPr fontId="3" type="noConversion"/>
  </si>
  <si>
    <t>小豆苗</t>
    <phoneticPr fontId="3" type="noConversion"/>
  </si>
  <si>
    <t>玉米鬚</t>
    <phoneticPr fontId="3" type="noConversion"/>
  </si>
  <si>
    <t>葡萄乾</t>
    <phoneticPr fontId="3" type="noConversion"/>
  </si>
  <si>
    <t>海苔</t>
    <phoneticPr fontId="3" type="noConversion"/>
  </si>
  <si>
    <r>
      <t>1</t>
    </r>
    <r>
      <rPr>
        <sz val="12"/>
        <rFont val="細明體"/>
        <family val="3"/>
        <charset val="136"/>
      </rPr>
      <t>張</t>
    </r>
    <phoneticPr fontId="3" type="noConversion"/>
  </si>
  <si>
    <t>花生粉</t>
    <phoneticPr fontId="3" type="noConversion"/>
  </si>
  <si>
    <t>原味優格</t>
    <phoneticPr fontId="3" type="noConversion"/>
  </si>
  <si>
    <t>蔬菜春捲</t>
    <phoneticPr fontId="3" type="noConversion"/>
  </si>
  <si>
    <t>低脂起司片</t>
    <phoneticPr fontId="3" type="noConversion"/>
  </si>
  <si>
    <r>
      <t>1/2</t>
    </r>
    <r>
      <rPr>
        <sz val="12"/>
        <rFont val="新細明體"/>
        <family val="1"/>
        <charset val="136"/>
      </rPr>
      <t>片</t>
    </r>
    <phoneticPr fontId="3" type="noConversion"/>
  </si>
  <si>
    <t>燕麥</t>
    <phoneticPr fontId="3" type="noConversion"/>
  </si>
  <si>
    <t>小翅腿切塊</t>
    <phoneticPr fontId="3" type="noConversion"/>
  </si>
  <si>
    <t>檸檬汁</t>
    <phoneticPr fontId="3" type="noConversion"/>
  </si>
  <si>
    <t>豆芽炒火腿絲</t>
    <phoneticPr fontId="3" type="noConversion"/>
  </si>
  <si>
    <t>豆芽菜</t>
    <phoneticPr fontId="3" type="noConversion"/>
  </si>
  <si>
    <t>火腿絲</t>
    <phoneticPr fontId="3" type="noConversion"/>
  </si>
  <si>
    <t>小籠包</t>
    <phoneticPr fontId="3" type="noConversion"/>
  </si>
  <si>
    <r>
      <t>1</t>
    </r>
    <r>
      <rPr>
        <sz val="12"/>
        <rFont val="細明體"/>
        <family val="3"/>
        <charset val="136"/>
      </rPr>
      <t>個</t>
    </r>
    <phoneticPr fontId="3" type="noConversion"/>
  </si>
  <si>
    <t>蒸黑糖糕</t>
    <phoneticPr fontId="3" type="noConversion"/>
  </si>
  <si>
    <t>黑糖糕</t>
    <phoneticPr fontId="3" type="noConversion"/>
  </si>
  <si>
    <t>莧菜魰魚粥</t>
    <phoneticPr fontId="3" type="noConversion"/>
  </si>
  <si>
    <t>煎薯餅</t>
    <phoneticPr fontId="3" type="noConversion"/>
  </si>
  <si>
    <t>薯餅</t>
    <phoneticPr fontId="3" type="noConversion"/>
  </si>
  <si>
    <t>蕃茄醬</t>
    <phoneticPr fontId="3" type="noConversion"/>
  </si>
  <si>
    <t>肉羹</t>
    <phoneticPr fontId="3" type="noConversion"/>
  </si>
  <si>
    <r>
      <t>乾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蝦仁</t>
    </r>
    <phoneticPr fontId="3" type="noConversion"/>
  </si>
  <si>
    <t>香菇絲</t>
    <phoneticPr fontId="3" type="noConversion"/>
  </si>
  <si>
    <t>雞絲麵</t>
    <phoneticPr fontId="3" type="noConversion"/>
  </si>
  <si>
    <r>
      <t>低脂鮮奶</t>
    </r>
    <r>
      <rPr>
        <sz val="12"/>
        <rFont val="Times New Roman"/>
        <family val="1"/>
      </rPr>
      <t>1</t>
    </r>
    <r>
      <rPr>
        <sz val="12"/>
        <rFont val="華康細圓體"/>
        <family val="3"/>
        <charset val="136"/>
      </rPr>
      <t>杯</t>
    </r>
    <phoneticPr fontId="3" type="noConversion"/>
  </si>
  <si>
    <t>蛤利</t>
    <phoneticPr fontId="3" type="noConversion"/>
  </si>
  <si>
    <t>小圓型地南瓜餅</t>
    <phoneticPr fontId="3" type="noConversion"/>
  </si>
  <si>
    <t>麵粉</t>
    <phoneticPr fontId="3" type="noConversion"/>
  </si>
  <si>
    <t>鳳梨罐頭丁</t>
    <phoneticPr fontId="3" type="noConversion"/>
  </si>
  <si>
    <t>果凍粉</t>
    <phoneticPr fontId="3" type="noConversion"/>
  </si>
  <si>
    <t>楓糖</t>
    <phoneticPr fontId="3" type="noConversion"/>
  </si>
  <si>
    <t>肉鬆</t>
    <phoneticPr fontId="3" type="noConversion"/>
  </si>
  <si>
    <t>壽司米</t>
    <phoneticPr fontId="3" type="noConversion"/>
  </si>
  <si>
    <r>
      <t>奶酪</t>
    </r>
    <r>
      <rPr>
        <sz val="12"/>
        <rFont val="Times New Roman"/>
        <family val="1"/>
      </rPr>
      <t>1</t>
    </r>
    <r>
      <rPr>
        <sz val="12"/>
        <rFont val="華康細圓體"/>
        <family val="3"/>
        <charset val="136"/>
      </rPr>
      <t>杯</t>
    </r>
    <phoneticPr fontId="3" type="noConversion"/>
  </si>
  <si>
    <t>低脂奶酪</t>
    <phoneticPr fontId="3" type="noConversion"/>
  </si>
  <si>
    <r>
      <t>1</t>
    </r>
    <r>
      <rPr>
        <sz val="12"/>
        <rFont val="細明體"/>
        <family val="3"/>
        <charset val="136"/>
      </rPr>
      <t>杯</t>
    </r>
    <phoneticPr fontId="3" type="noConversion"/>
  </si>
  <si>
    <t>炒海鮮烏龍麵</t>
    <phoneticPr fontId="3" type="noConversion"/>
  </si>
  <si>
    <t>烏龍麵</t>
    <phoneticPr fontId="3" type="noConversion"/>
  </si>
  <si>
    <t>章魚</t>
    <phoneticPr fontId="3" type="noConversion"/>
  </si>
  <si>
    <t>蒸豬血糕</t>
    <phoneticPr fontId="3" type="noConversion"/>
  </si>
  <si>
    <t>米血</t>
    <phoneticPr fontId="3" type="noConversion"/>
  </si>
  <si>
    <t>冬筍</t>
    <phoneticPr fontId="3" type="noConversion"/>
  </si>
  <si>
    <t>筍片大骨湯</t>
    <phoneticPr fontId="3" type="noConversion"/>
  </si>
  <si>
    <t>綜合甜豆花</t>
    <phoneticPr fontId="3" type="noConversion"/>
  </si>
  <si>
    <t>豆花粉</t>
    <phoneticPr fontId="3" type="noConversion"/>
  </si>
  <si>
    <t>米乳</t>
    <phoneticPr fontId="3" type="noConversion"/>
  </si>
  <si>
    <t>青花菜炒肉絲</t>
    <phoneticPr fontId="3" type="noConversion"/>
  </si>
  <si>
    <t>蔥末</t>
    <phoneticPr fontId="3" type="noConversion"/>
  </si>
  <si>
    <t>春捲皮</t>
    <phoneticPr fontId="3" type="noConversion"/>
  </si>
  <si>
    <r>
      <t>1</t>
    </r>
    <r>
      <rPr>
        <sz val="12"/>
        <rFont val="新細明體"/>
        <family val="1"/>
        <charset val="136"/>
      </rPr>
      <t>張</t>
    </r>
    <phoneticPr fontId="3" type="noConversion"/>
  </si>
  <si>
    <t>苜宿芽</t>
    <phoneticPr fontId="3" type="noConversion"/>
  </si>
  <si>
    <t>小黃瓜絲</t>
    <phoneticPr fontId="3" type="noConversion"/>
  </si>
  <si>
    <t>決明子</t>
    <phoneticPr fontId="3" type="noConversion"/>
  </si>
  <si>
    <t>其它</t>
    <phoneticPr fontId="3" type="noConversion"/>
  </si>
  <si>
    <t>低脂奶粉</t>
    <phoneticPr fontId="3" type="noConversion"/>
  </si>
  <si>
    <t>黑糖</t>
    <phoneticPr fontId="3" type="noConversion"/>
  </si>
  <si>
    <t>飯</t>
    <phoneticPr fontId="3" type="noConversion"/>
  </si>
  <si>
    <t>鮮蝦鳳梨炒飯</t>
  </si>
  <si>
    <t>草蝦仁</t>
    <phoneticPr fontId="3" type="noConversion"/>
  </si>
  <si>
    <t>紫菜大骨湯</t>
    <phoneticPr fontId="3" type="noConversion"/>
  </si>
  <si>
    <t>乾紫菜</t>
    <phoneticPr fontId="3" type="noConversion"/>
  </si>
  <si>
    <t>大龍骨切</t>
    <phoneticPr fontId="3" type="noConversion"/>
  </si>
  <si>
    <t>蒸蔬菜燒賣</t>
    <phoneticPr fontId="3" type="noConversion"/>
  </si>
  <si>
    <t>魚漿</t>
    <phoneticPr fontId="3" type="noConversion"/>
  </si>
  <si>
    <t>擔仔麵</t>
    <phoneticPr fontId="3" type="noConversion"/>
  </si>
  <si>
    <t>麵條</t>
    <phoneticPr fontId="3" type="noConversion"/>
  </si>
  <si>
    <t>白飯</t>
    <phoneticPr fontId="3" type="noConversion"/>
  </si>
  <si>
    <t>蛤蜊</t>
    <phoneticPr fontId="3" type="noConversion"/>
  </si>
  <si>
    <t>小肉包一個</t>
    <phoneticPr fontId="3" type="noConversion"/>
  </si>
  <si>
    <t>青豆仁</t>
    <phoneticPr fontId="3" type="noConversion"/>
  </si>
  <si>
    <r>
      <t>蛋白質</t>
    </r>
    <r>
      <rPr>
        <sz val="12"/>
        <color indexed="17"/>
        <rFont val="Times New Roman"/>
        <family val="1"/>
      </rPr>
      <t>(g)</t>
    </r>
    <phoneticPr fontId="3" type="noConversion"/>
  </si>
  <si>
    <r>
      <t>醣類</t>
    </r>
    <r>
      <rPr>
        <sz val="12"/>
        <color indexed="17"/>
        <rFont val="Times New Roman"/>
        <family val="1"/>
      </rPr>
      <t>(g)</t>
    </r>
    <phoneticPr fontId="3" type="noConversion"/>
  </si>
  <si>
    <r>
      <t>脂肪</t>
    </r>
    <r>
      <rPr>
        <sz val="12"/>
        <color indexed="17"/>
        <rFont val="Times New Roman"/>
        <family val="1"/>
      </rPr>
      <t>(g)</t>
    </r>
    <phoneticPr fontId="3" type="noConversion"/>
  </si>
  <si>
    <r>
      <t>熱量</t>
    </r>
    <r>
      <rPr>
        <sz val="12"/>
        <color indexed="17"/>
        <rFont val="Times New Roman"/>
        <family val="1"/>
      </rPr>
      <t>(</t>
    </r>
    <r>
      <rPr>
        <sz val="12"/>
        <color indexed="17"/>
        <rFont val="新細明體"/>
        <family val="1"/>
        <charset val="136"/>
      </rPr>
      <t>卡</t>
    </r>
    <r>
      <rPr>
        <sz val="12"/>
        <color indexed="17"/>
        <rFont val="Times New Roman"/>
        <family val="1"/>
      </rPr>
      <t>)</t>
    </r>
    <phoneticPr fontId="3" type="noConversion"/>
  </si>
  <si>
    <r>
      <t>蛋白質</t>
    </r>
    <r>
      <rPr>
        <sz val="11"/>
        <color indexed="17"/>
        <rFont val="Times New Roman"/>
        <family val="1"/>
      </rPr>
      <t>(g)</t>
    </r>
    <phoneticPr fontId="3" type="noConversion"/>
  </si>
  <si>
    <r>
      <t>醣類</t>
    </r>
    <r>
      <rPr>
        <sz val="11"/>
        <color indexed="17"/>
        <rFont val="Times New Roman"/>
        <family val="1"/>
      </rPr>
      <t>(g)</t>
    </r>
    <phoneticPr fontId="3" type="noConversion"/>
  </si>
  <si>
    <r>
      <t>脂肪</t>
    </r>
    <r>
      <rPr>
        <sz val="11"/>
        <color indexed="17"/>
        <rFont val="Times New Roman"/>
        <family val="1"/>
      </rPr>
      <t>(g)</t>
    </r>
    <phoneticPr fontId="3" type="noConversion"/>
  </si>
  <si>
    <r>
      <t>熱量</t>
    </r>
    <r>
      <rPr>
        <sz val="11"/>
        <color indexed="17"/>
        <rFont val="Times New Roman"/>
        <family val="1"/>
      </rPr>
      <t>(</t>
    </r>
    <r>
      <rPr>
        <sz val="11"/>
        <color indexed="17"/>
        <rFont val="新細明體"/>
        <family val="1"/>
        <charset val="136"/>
      </rPr>
      <t>卡</t>
    </r>
    <r>
      <rPr>
        <sz val="11"/>
        <color indexed="17"/>
        <rFont val="Times New Roman"/>
        <family val="1"/>
      </rPr>
      <t>)</t>
    </r>
    <phoneticPr fontId="3" type="noConversion"/>
  </si>
  <si>
    <r>
      <t>1</t>
    </r>
    <r>
      <rPr>
        <sz val="12"/>
        <color indexed="17"/>
        <rFont val="新細明體"/>
        <family val="1"/>
        <charset val="136"/>
      </rPr>
      <t>份</t>
    </r>
    <phoneticPr fontId="3" type="noConversion"/>
  </si>
  <si>
    <t>潮雕魚</t>
    <phoneticPr fontId="3" type="noConversion"/>
  </si>
  <si>
    <r>
      <t>鮮奶</t>
    </r>
    <r>
      <rPr>
        <sz val="12"/>
        <rFont val="Times New Roman"/>
        <family val="1"/>
      </rPr>
      <t>/c.c.</t>
    </r>
    <phoneticPr fontId="3" type="noConversion"/>
  </si>
  <si>
    <t>雪菜豆干丁</t>
    <phoneticPr fontId="3" type="noConversion"/>
  </si>
  <si>
    <t>雪菜</t>
    <phoneticPr fontId="3" type="noConversion"/>
  </si>
  <si>
    <t>豆干丁</t>
    <phoneticPr fontId="3" type="noConversion"/>
  </si>
  <si>
    <t>干貝</t>
    <phoneticPr fontId="3" type="noConversion"/>
  </si>
  <si>
    <t>小兔包</t>
    <phoneticPr fontId="3" type="noConversion"/>
  </si>
  <si>
    <r>
      <t>2</t>
    </r>
    <r>
      <rPr>
        <sz val="12"/>
        <rFont val="新細明體"/>
        <family val="1"/>
        <charset val="136"/>
      </rPr>
      <t>個</t>
    </r>
    <phoneticPr fontId="3" type="noConversion"/>
  </si>
  <si>
    <t>鱈魚</t>
    <phoneticPr fontId="3" type="noConversion"/>
  </si>
  <si>
    <t>紅蘿蔔丁</t>
    <phoneticPr fontId="3" type="noConversion"/>
  </si>
  <si>
    <t>羅宋湯</t>
    <phoneticPr fontId="3" type="noConversion"/>
  </si>
  <si>
    <t>絞肉</t>
    <phoneticPr fontId="3" type="noConversion"/>
  </si>
  <si>
    <t>芋圓</t>
    <phoneticPr fontId="3" type="noConversion"/>
  </si>
  <si>
    <t>沙拉醬</t>
    <phoneticPr fontId="3" type="noConversion"/>
  </si>
  <si>
    <t>1片</t>
    <phoneticPr fontId="3" type="noConversion"/>
  </si>
  <si>
    <t>餐次</t>
    <phoneticPr fontId="3" type="noConversion"/>
  </si>
  <si>
    <t>鮑魚菇</t>
    <phoneticPr fontId="3" type="noConversion"/>
  </si>
  <si>
    <t>黑輪</t>
    <phoneticPr fontId="3" type="noConversion"/>
  </si>
  <si>
    <t>蛋白質(g)</t>
    <phoneticPr fontId="3" type="noConversion"/>
  </si>
  <si>
    <t>醣類(g)</t>
    <phoneticPr fontId="3" type="noConversion"/>
  </si>
  <si>
    <t>脂肪(g)</t>
    <phoneticPr fontId="3" type="noConversion"/>
  </si>
  <si>
    <t>熱量(卡)</t>
    <phoneticPr fontId="3" type="noConversion"/>
  </si>
  <si>
    <t>胚芽米</t>
    <phoneticPr fontId="3" type="noConversion"/>
  </si>
  <si>
    <t>適量</t>
    <phoneticPr fontId="3" type="noConversion"/>
  </si>
  <si>
    <t>通心麵</t>
    <phoneticPr fontId="3" type="noConversion"/>
  </si>
  <si>
    <r>
      <t>蒸餃</t>
    </r>
    <r>
      <rPr>
        <sz val="12"/>
        <color indexed="8"/>
        <rFont val="Times New Roman"/>
        <family val="1"/>
      </rPr>
      <t/>
    </r>
    <phoneticPr fontId="3" type="noConversion"/>
  </si>
  <si>
    <r>
      <t>4</t>
    </r>
    <r>
      <rPr>
        <sz val="12"/>
        <color indexed="8"/>
        <rFont val="細明體"/>
        <family val="3"/>
        <charset val="136"/>
      </rPr>
      <t>個</t>
    </r>
    <phoneticPr fontId="3" type="noConversion"/>
  </si>
  <si>
    <t>蘑菇醬</t>
    <phoneticPr fontId="3" type="noConversion"/>
  </si>
  <si>
    <t>紅羅蔔</t>
    <phoneticPr fontId="3" type="noConversion"/>
  </si>
  <si>
    <t>計算個數的東西如包子、罐裝乳品、請直接依使用人數採買，不另計算。</t>
    <phoneticPr fontId="3" type="noConversion"/>
  </si>
  <si>
    <t>黃瓜肉鬆壽司</t>
    <phoneticPr fontId="3" type="noConversion"/>
  </si>
  <si>
    <t>花椰菜</t>
    <phoneticPr fontId="3" type="noConversion"/>
  </si>
  <si>
    <t>磨菇</t>
    <phoneticPr fontId="3" type="noConversion"/>
  </si>
  <si>
    <t>奶粉</t>
    <phoneticPr fontId="3" type="noConversion"/>
  </si>
  <si>
    <t>洋蔥末</t>
    <phoneticPr fontId="3" type="noConversion"/>
  </si>
  <si>
    <t>什錦花椰菜</t>
    <phoneticPr fontId="3" type="noConversion"/>
  </si>
  <si>
    <t>磨菇濃湯</t>
    <phoneticPr fontId="3" type="noConversion"/>
  </si>
  <si>
    <t>各總顏色玻璃紙</t>
    <phoneticPr fontId="3" type="noConversion"/>
  </si>
  <si>
    <t>海帶芽</t>
    <phoneticPr fontId="3" type="noConversion"/>
  </si>
  <si>
    <t>味噌</t>
    <phoneticPr fontId="3" type="noConversion"/>
  </si>
  <si>
    <t>紅豆麥片湯</t>
    <phoneticPr fontId="3" type="noConversion"/>
  </si>
  <si>
    <t>麥片</t>
    <phoneticPr fontId="3" type="noConversion"/>
  </si>
  <si>
    <t>糙米</t>
    <phoneticPr fontId="3" type="noConversion"/>
  </si>
  <si>
    <t>豬柳</t>
    <phoneticPr fontId="3" type="noConversion"/>
  </si>
  <si>
    <t>吻仔魚</t>
    <phoneticPr fontId="3" type="noConversion"/>
  </si>
  <si>
    <t>牡蠣</t>
    <phoneticPr fontId="3" type="noConversion"/>
  </si>
  <si>
    <t>麵線</t>
    <phoneticPr fontId="3" type="noConversion"/>
  </si>
  <si>
    <t>筍絲</t>
    <phoneticPr fontId="3" type="noConversion"/>
  </si>
  <si>
    <t>紅蔥頭</t>
    <phoneticPr fontId="3" type="noConversion"/>
  </si>
  <si>
    <r>
      <t>100%</t>
    </r>
    <r>
      <rPr>
        <sz val="12"/>
        <rFont val="華康細圓體"/>
        <family val="3"/>
        <charset val="136"/>
      </rPr>
      <t>天然全麥脆片</t>
    </r>
    <phoneticPr fontId="3" type="noConversion"/>
  </si>
  <si>
    <t>蔬菜珍珠丸子</t>
    <phoneticPr fontId="3" type="noConversion"/>
  </si>
  <si>
    <t>乾長糯米</t>
    <phoneticPr fontId="3" type="noConversion"/>
  </si>
  <si>
    <t>乾香菇絲</t>
    <phoneticPr fontId="3" type="noConversion"/>
  </si>
  <si>
    <t>乾蝦仁</t>
    <phoneticPr fontId="3" type="noConversion"/>
  </si>
  <si>
    <t>煮黑輪</t>
    <phoneticPr fontId="3" type="noConversion"/>
  </si>
  <si>
    <r>
      <t>1</t>
    </r>
    <r>
      <rPr>
        <sz val="12"/>
        <rFont val="細明體"/>
        <family val="3"/>
        <charset val="136"/>
      </rPr>
      <t>隻</t>
    </r>
    <phoneticPr fontId="3" type="noConversion"/>
  </si>
  <si>
    <t>醬油膏</t>
    <phoneticPr fontId="3" type="noConversion"/>
  </si>
  <si>
    <t>香菇雞丁湯</t>
    <phoneticPr fontId="3" type="noConversion"/>
  </si>
  <si>
    <t>煎餅粉</t>
    <phoneticPr fontId="3" type="noConversion"/>
  </si>
  <si>
    <t>煉乳</t>
    <phoneticPr fontId="3" type="noConversion"/>
  </si>
  <si>
    <t>熱桂圓茶</t>
    <phoneticPr fontId="3" type="noConversion"/>
  </si>
  <si>
    <t>乾桂圓</t>
    <phoneticPr fontId="3" type="noConversion"/>
  </si>
  <si>
    <t>糯米</t>
    <phoneticPr fontId="3" type="noConversion"/>
  </si>
  <si>
    <t>油飯</t>
    <phoneticPr fontId="3" type="noConversion"/>
  </si>
  <si>
    <t>濕香菇絲</t>
    <phoneticPr fontId="3" type="noConversion"/>
  </si>
  <si>
    <t>肉絲</t>
    <phoneticPr fontId="3" type="noConversion"/>
  </si>
  <si>
    <t>乾栗子</t>
    <phoneticPr fontId="3" type="noConversion"/>
  </si>
  <si>
    <t>空心菜</t>
    <phoneticPr fontId="3" type="noConversion"/>
  </si>
  <si>
    <t>餛飩湯</t>
    <phoneticPr fontId="3" type="noConversion"/>
  </si>
  <si>
    <t>溫州餛飩</t>
    <phoneticPr fontId="3" type="noConversion"/>
  </si>
  <si>
    <t>草莓醬</t>
    <phoneticPr fontId="3" type="noConversion"/>
  </si>
  <si>
    <t>玉米醬</t>
    <phoneticPr fontId="3" type="noConversion"/>
  </si>
  <si>
    <t>火腿</t>
    <phoneticPr fontId="3" type="noConversion"/>
  </si>
  <si>
    <t>乾麵輪</t>
    <phoneticPr fontId="3" type="noConversion"/>
  </si>
  <si>
    <t>肉角</t>
    <phoneticPr fontId="3" type="noConversion"/>
  </si>
  <si>
    <t>花生</t>
    <phoneticPr fontId="3" type="noConversion"/>
  </si>
  <si>
    <t>白木耳</t>
    <phoneticPr fontId="3" type="noConversion"/>
  </si>
  <si>
    <t>乾蓮子</t>
    <phoneticPr fontId="3" type="noConversion"/>
  </si>
  <si>
    <t>紅棗</t>
    <phoneticPr fontId="3" type="noConversion"/>
  </si>
  <si>
    <t>冰糖</t>
    <phoneticPr fontId="3" type="noConversion"/>
  </si>
  <si>
    <t>奶皇包</t>
    <phoneticPr fontId="3" type="noConversion"/>
  </si>
  <si>
    <r>
      <t>豆漿</t>
    </r>
    <r>
      <rPr>
        <sz val="12"/>
        <rFont val="Times New Roman"/>
        <family val="1"/>
      </rPr>
      <t>/c.c</t>
    </r>
    <phoneticPr fontId="3" type="noConversion"/>
  </si>
  <si>
    <r>
      <t>米漿</t>
    </r>
    <r>
      <rPr>
        <sz val="12"/>
        <rFont val="Times New Roman"/>
        <family val="1"/>
      </rPr>
      <t>/c.c</t>
    </r>
    <phoneticPr fontId="3" type="noConversion"/>
  </si>
  <si>
    <t>地瓜飯</t>
    <phoneticPr fontId="3" type="noConversion"/>
  </si>
  <si>
    <t>透抽</t>
    <phoneticPr fontId="3" type="noConversion"/>
  </si>
  <si>
    <t>大白菜</t>
    <phoneticPr fontId="3" type="noConversion"/>
  </si>
  <si>
    <t>炸豬皮</t>
    <phoneticPr fontId="3" type="noConversion"/>
  </si>
  <si>
    <t>蘆筍</t>
    <phoneticPr fontId="3" type="noConversion"/>
  </si>
  <si>
    <t>菱角</t>
    <phoneticPr fontId="3" type="noConversion"/>
  </si>
  <si>
    <t>軟排</t>
    <phoneticPr fontId="3" type="noConversion"/>
  </si>
  <si>
    <t>綠豆</t>
    <phoneticPr fontId="3" type="noConversion"/>
  </si>
  <si>
    <t>薏仁</t>
    <phoneticPr fontId="3" type="noConversion"/>
  </si>
  <si>
    <t>蔥花</t>
    <phoneticPr fontId="3" type="noConversion"/>
  </si>
  <si>
    <t>芋香西米露</t>
    <phoneticPr fontId="3" type="noConversion"/>
  </si>
  <si>
    <t>芋頭粉</t>
    <phoneticPr fontId="3" type="noConversion"/>
  </si>
  <si>
    <t>西谷米</t>
    <phoneticPr fontId="3" type="noConversion"/>
  </si>
  <si>
    <t>麥香小饅頭</t>
    <phoneticPr fontId="3" type="noConversion"/>
  </si>
  <si>
    <r>
      <t>小饅頭</t>
    </r>
    <r>
      <rPr>
        <sz val="12"/>
        <rFont val="Times New Roman"/>
        <family val="1"/>
      </rPr>
      <t>60</t>
    </r>
    <phoneticPr fontId="3" type="noConversion"/>
  </si>
  <si>
    <t>薏仁牛奶</t>
    <phoneticPr fontId="3" type="noConversion"/>
  </si>
  <si>
    <t>薏仁粉</t>
    <phoneticPr fontId="3" type="noConversion"/>
  </si>
  <si>
    <t>白米飯</t>
    <phoneticPr fontId="3" type="noConversion"/>
  </si>
  <si>
    <t>清蒸鮭魚</t>
  </si>
  <si>
    <t>蒟蒻刻花</t>
    <phoneticPr fontId="3" type="noConversion"/>
  </si>
  <si>
    <t>筍丁</t>
    <phoneticPr fontId="3" type="noConversion"/>
  </si>
  <si>
    <t>排骨</t>
    <phoneticPr fontId="3" type="noConversion"/>
  </si>
  <si>
    <t>雜糧小饅頭</t>
    <phoneticPr fontId="3" type="noConversion"/>
  </si>
  <si>
    <t>蓬來米</t>
    <phoneticPr fontId="3" type="noConversion"/>
  </si>
  <si>
    <t>炸花生</t>
    <phoneticPr fontId="3" type="noConversion"/>
  </si>
  <si>
    <t>清雞肉丁</t>
    <phoneticPr fontId="3" type="noConversion"/>
  </si>
  <si>
    <t>小黃瓜丁</t>
    <phoneticPr fontId="3" type="noConversion"/>
  </si>
  <si>
    <t>腰果</t>
    <phoneticPr fontId="3" type="noConversion"/>
  </si>
  <si>
    <t>青花菜</t>
    <phoneticPr fontId="3" type="noConversion"/>
  </si>
  <si>
    <t>紅籮蔔</t>
    <phoneticPr fontId="3" type="noConversion"/>
  </si>
  <si>
    <t>瘦肉絲</t>
    <phoneticPr fontId="3" type="noConversion"/>
  </si>
  <si>
    <t>果醬</t>
    <phoneticPr fontId="3" type="noConversion"/>
  </si>
  <si>
    <t>雕魚肉</t>
    <phoneticPr fontId="3" type="noConversion"/>
  </si>
  <si>
    <t>吻魚</t>
    <phoneticPr fontId="3" type="noConversion"/>
  </si>
  <si>
    <t>袖珍菇</t>
    <phoneticPr fontId="3" type="noConversion"/>
  </si>
  <si>
    <t>天然全麥脆片</t>
    <phoneticPr fontId="3" type="noConversion"/>
  </si>
  <si>
    <t>烤扇型煎餅</t>
    <phoneticPr fontId="3" type="noConversion"/>
  </si>
  <si>
    <t>涼薯絞肉</t>
    <phoneticPr fontId="3" type="noConversion"/>
  </si>
  <si>
    <t>涼薯</t>
    <phoneticPr fontId="3" type="noConversion"/>
  </si>
  <si>
    <t>碎醬瓜</t>
    <phoneticPr fontId="3" type="noConversion"/>
  </si>
  <si>
    <r>
      <t>鮪魚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罐頭</t>
    </r>
    <phoneticPr fontId="3" type="noConversion"/>
  </si>
  <si>
    <t>名稱</t>
    <phoneticPr fontId="3" type="noConversion"/>
  </si>
  <si>
    <t>以下為常用水果每份重量，『購買重量』指包含果皮的重量。</t>
    <phoneticPr fontId="3" type="noConversion"/>
  </si>
  <si>
    <t>香瓜</t>
    <phoneticPr fontId="3" type="noConversion"/>
  </si>
  <si>
    <t>李子</t>
    <phoneticPr fontId="3" type="noConversion"/>
  </si>
  <si>
    <t>葡萄</t>
    <phoneticPr fontId="3" type="noConversion"/>
  </si>
  <si>
    <t>葡萄柚</t>
    <phoneticPr fontId="3" type="noConversion"/>
  </si>
  <si>
    <t>楊桃</t>
    <phoneticPr fontId="3" type="noConversion"/>
  </si>
  <si>
    <t>櫻桃</t>
    <phoneticPr fontId="3" type="noConversion"/>
  </si>
  <si>
    <t>新世紀梨</t>
    <phoneticPr fontId="3" type="noConversion"/>
  </si>
  <si>
    <t>桶柑</t>
    <phoneticPr fontId="3" type="noConversion"/>
  </si>
  <si>
    <t>荔枝</t>
    <phoneticPr fontId="3" type="noConversion"/>
  </si>
  <si>
    <t>枇杷</t>
    <phoneticPr fontId="3" type="noConversion"/>
  </si>
  <si>
    <t>香蕉</t>
    <phoneticPr fontId="3" type="noConversion"/>
  </si>
  <si>
    <t>加州李</t>
    <phoneticPr fontId="3" type="noConversion"/>
  </si>
  <si>
    <t>椪柑</t>
    <phoneticPr fontId="3" type="noConversion"/>
  </si>
  <si>
    <t>柳丁</t>
    <phoneticPr fontId="3" type="noConversion"/>
  </si>
  <si>
    <r>
      <t>購買重量</t>
    </r>
    <r>
      <rPr>
        <sz val="12"/>
        <rFont val="Times New Roman"/>
        <family val="1"/>
      </rPr>
      <t>g</t>
    </r>
    <phoneticPr fontId="3" type="noConversion"/>
  </si>
  <si>
    <r>
      <t>可食部分</t>
    </r>
    <r>
      <rPr>
        <sz val="12"/>
        <rFont val="Times New Roman"/>
        <family val="1"/>
      </rPr>
      <t>g</t>
    </r>
    <phoneticPr fontId="3" type="noConversion"/>
  </si>
  <si>
    <t>備註</t>
    <phoneticPr fontId="3" type="noConversion"/>
  </si>
  <si>
    <r>
      <t>1/2</t>
    </r>
    <r>
      <rPr>
        <sz val="12"/>
        <rFont val="新細明體"/>
        <family val="1"/>
        <charset val="136"/>
      </rPr>
      <t>根</t>
    </r>
    <phoneticPr fontId="3" type="noConversion"/>
  </si>
  <si>
    <t>蜜棗</t>
    <phoneticPr fontId="3" type="noConversion"/>
  </si>
  <si>
    <t>芒果</t>
    <phoneticPr fontId="3" type="noConversion"/>
  </si>
  <si>
    <t>鳳梨</t>
    <phoneticPr fontId="3" type="noConversion"/>
  </si>
  <si>
    <t>奇異果</t>
    <phoneticPr fontId="3" type="noConversion"/>
  </si>
  <si>
    <t>紅西瓜</t>
    <phoneticPr fontId="3" type="noConversion"/>
  </si>
  <si>
    <t>黃西瓜</t>
    <phoneticPr fontId="3" type="noConversion"/>
  </si>
  <si>
    <t>草莓</t>
    <phoneticPr fontId="3" type="noConversion"/>
  </si>
  <si>
    <t>木瓜</t>
    <phoneticPr fontId="3" type="noConversion"/>
  </si>
  <si>
    <r>
      <t>9</t>
    </r>
    <r>
      <rPr>
        <sz val="12"/>
        <rFont val="新細明體"/>
        <family val="1"/>
        <charset val="136"/>
      </rPr>
      <t>個</t>
    </r>
    <phoneticPr fontId="3" type="noConversion"/>
  </si>
  <si>
    <t>鴨梨</t>
    <phoneticPr fontId="3" type="noConversion"/>
  </si>
  <si>
    <t>水蜜桃</t>
    <phoneticPr fontId="3" type="noConversion"/>
  </si>
  <si>
    <t>哈蜜瓜</t>
    <phoneticPr fontId="3" type="noConversion"/>
  </si>
  <si>
    <t>棗子</t>
    <phoneticPr fontId="3" type="noConversion"/>
  </si>
  <si>
    <r>
      <t>4</t>
    </r>
    <r>
      <rPr>
        <sz val="12"/>
        <rFont val="新細明體"/>
        <family val="1"/>
        <charset val="136"/>
      </rPr>
      <t>個</t>
    </r>
    <phoneticPr fontId="3" type="noConversion"/>
  </si>
  <si>
    <t>本表所設計的蔬菜量不包含廢棄部分，因蔬菜品質好壞對採購量影響採購量極大，</t>
    <phoneticPr fontId="3" type="noConversion"/>
  </si>
  <si>
    <t>例如高麗菜與包心白菜，剝除爛葉越多，剩下可食部分越少。</t>
    <phoneticPr fontId="3" type="noConversion"/>
  </si>
  <si>
    <r>
      <t>本表資料來源：台北醫學大學保健營養學系（</t>
    </r>
    <r>
      <rPr>
        <sz val="10"/>
        <rFont val="Times New Roman"/>
        <family val="1"/>
      </rPr>
      <t>2002</t>
    </r>
    <r>
      <rPr>
        <sz val="10"/>
        <rFont val="新細明體"/>
        <family val="1"/>
        <charset val="136"/>
      </rPr>
      <t>），營養學實驗。</t>
    </r>
    <phoneticPr fontId="3" type="noConversion"/>
  </si>
  <si>
    <t>每頁表格上頭『橘色』格子處輸入使用人數，便可計算出採購量。</t>
    <phoneticPr fontId="3" type="noConversion"/>
  </si>
  <si>
    <t>自總表找到想使用之菜單，依其序號查找工作表。</t>
    <phoneticPr fontId="3" type="noConversion"/>
  </si>
  <si>
    <t>由於幼兒食量小，建議可視其食量安排食用水果時間。</t>
    <phoneticPr fontId="3" type="noConversion"/>
  </si>
  <si>
    <r>
      <t>蒸蘿蔔糕</t>
    </r>
    <r>
      <rPr>
        <sz val="12"/>
        <rFont val="華康細圓體"/>
        <family val="3"/>
        <charset val="136"/>
      </rPr>
      <t/>
    </r>
    <phoneticPr fontId="3" type="noConversion"/>
  </si>
  <si>
    <r>
      <t>低脂奶</t>
    </r>
    <r>
      <rPr>
        <sz val="12"/>
        <rFont val="Times New Roman"/>
        <family val="1"/>
      </rPr>
      <t>1</t>
    </r>
    <r>
      <rPr>
        <sz val="12"/>
        <rFont val="華康細圓體"/>
        <family val="3"/>
        <charset val="136"/>
      </rPr>
      <t>杯</t>
    </r>
    <phoneticPr fontId="3" type="noConversion"/>
  </si>
  <si>
    <t>水果一份</t>
    <phoneticPr fontId="3" type="noConversion"/>
  </si>
  <si>
    <t>使用說明</t>
    <phoneticPr fontId="3" type="noConversion"/>
  </si>
  <si>
    <t>新北市幼兒園餐點設計</t>
    <phoneticPr fontId="3" type="noConversion"/>
  </si>
  <si>
    <t>小米飯半碗</t>
    <phoneticPr fontId="3" type="noConversion"/>
  </si>
  <si>
    <t>蒸蘿蔔糕、鮮奶半杯</t>
    <phoneticPr fontId="3" type="noConversion"/>
  </si>
  <si>
    <t>牛奶大麥粥</t>
    <phoneticPr fontId="3" type="noConversion"/>
  </si>
  <si>
    <t>蕎麥飯半碗</t>
    <phoneticPr fontId="3" type="noConversion"/>
  </si>
  <si>
    <t>水果優格</t>
    <phoneticPr fontId="3" type="noConversion"/>
  </si>
  <si>
    <t>時蔬馬鈴薯湯</t>
  </si>
  <si>
    <t>白飯半碗</t>
  </si>
  <si>
    <t>紅燒獅子頭</t>
  </si>
  <si>
    <t>炒四季豆</t>
  </si>
  <si>
    <t>粉蒸排骨</t>
  </si>
  <si>
    <t>蛤蜊角瓜</t>
  </si>
  <si>
    <t>燙花椰菜</t>
  </si>
  <si>
    <t>竹笙香菇雞湯</t>
  </si>
  <si>
    <r>
      <t>蛋白質</t>
    </r>
    <r>
      <rPr>
        <sz val="12"/>
        <rFont val="Times New Roman"/>
        <family val="1"/>
      </rPr>
      <t>(g)</t>
    </r>
    <phoneticPr fontId="3" type="noConversion"/>
  </si>
  <si>
    <r>
      <t>醣類</t>
    </r>
    <r>
      <rPr>
        <sz val="12"/>
        <rFont val="Times New Roman"/>
        <family val="1"/>
      </rPr>
      <t>(g)</t>
    </r>
    <phoneticPr fontId="3" type="noConversion"/>
  </si>
  <si>
    <r>
      <t>脂肪</t>
    </r>
    <r>
      <rPr>
        <sz val="12"/>
        <rFont val="Times New Roman"/>
        <family val="1"/>
      </rPr>
      <t>(g)</t>
    </r>
    <phoneticPr fontId="3" type="noConversion"/>
  </si>
  <si>
    <r>
      <t>熱量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卡</t>
    </r>
    <r>
      <rPr>
        <sz val="12"/>
        <rFont val="Times New Roman"/>
        <family val="1"/>
      </rPr>
      <t>)</t>
    </r>
    <phoneticPr fontId="3" type="noConversion"/>
  </si>
  <si>
    <t>果</t>
    <phoneticPr fontId="3" type="noConversion"/>
  </si>
  <si>
    <t>總計</t>
    <phoneticPr fontId="3" type="noConversion"/>
  </si>
  <si>
    <t>烤餅乾</t>
    <phoneticPr fontId="3" type="noConversion"/>
  </si>
  <si>
    <t>鮮奶半杯</t>
    <phoneticPr fontId="3" type="noConversion"/>
  </si>
  <si>
    <t>低筋麵粉</t>
    <phoneticPr fontId="3" type="noConversion"/>
  </si>
  <si>
    <t>綜合果仁</t>
    <phoneticPr fontId="3" type="noConversion"/>
  </si>
  <si>
    <t>砂糖</t>
    <phoneticPr fontId="3" type="noConversion"/>
  </si>
  <si>
    <t>低脂肉鬆</t>
    <phoneticPr fontId="3" type="noConversion"/>
  </si>
  <si>
    <t>豬絞肉</t>
    <phoneticPr fontId="3" type="noConversion"/>
  </si>
  <si>
    <t>蔬</t>
    <phoneticPr fontId="3" type="noConversion"/>
  </si>
  <si>
    <t>軟骨丁</t>
    <phoneticPr fontId="3" type="noConversion"/>
  </si>
  <si>
    <t>木耳</t>
    <phoneticPr fontId="3" type="noConversion"/>
  </si>
  <si>
    <t>決明子奶茶1杯</t>
    <phoneticPr fontId="3" type="noConversion"/>
  </si>
  <si>
    <t>烤土司捲</t>
    <phoneticPr fontId="3" type="noConversion"/>
  </si>
  <si>
    <t>板豆腐</t>
    <phoneticPr fontId="3" type="noConversion"/>
  </si>
  <si>
    <t>蕃茄豆腐</t>
    <phoneticPr fontId="3" type="noConversion"/>
  </si>
  <si>
    <t>水果起司三明治</t>
    <phoneticPr fontId="3" type="noConversion"/>
  </si>
  <si>
    <t>豆漿</t>
    <phoneticPr fontId="3" type="noConversion"/>
  </si>
  <si>
    <t>芝麻飯半碗</t>
    <phoneticPr fontId="3" type="noConversion"/>
  </si>
  <si>
    <t>洋蔥牛柳</t>
    <phoneticPr fontId="3" type="noConversion"/>
  </si>
  <si>
    <t>馬鈴薯肉末</t>
    <phoneticPr fontId="3" type="noConversion"/>
  </si>
  <si>
    <t>蒸芋頭糕</t>
    <phoneticPr fontId="3" type="noConversion"/>
  </si>
  <si>
    <t>蘋果牛奶半杯</t>
    <phoneticPr fontId="3" type="noConversion"/>
  </si>
  <si>
    <t>黑芝麻</t>
    <phoneticPr fontId="3" type="noConversion"/>
  </si>
  <si>
    <t>/</t>
    <phoneticPr fontId="3" type="noConversion"/>
  </si>
  <si>
    <t>牛柳</t>
    <phoneticPr fontId="3" type="noConversion"/>
  </si>
  <si>
    <t>醬油</t>
    <phoneticPr fontId="3" type="noConversion"/>
  </si>
  <si>
    <t>在來米粉</t>
    <phoneticPr fontId="3" type="noConversion"/>
  </si>
  <si>
    <t>芋頭小丁</t>
    <phoneticPr fontId="3" type="noConversion"/>
  </si>
  <si>
    <t>低脂鮮乳</t>
    <phoneticPr fontId="3" type="noConversion"/>
  </si>
  <si>
    <t>紫米飯半碗</t>
    <phoneticPr fontId="3" type="noConversion"/>
  </si>
  <si>
    <t>紫米</t>
    <phoneticPr fontId="3" type="noConversion"/>
  </si>
  <si>
    <t>麵線(乾)</t>
    <phoneticPr fontId="3" type="noConversion"/>
  </si>
  <si>
    <t>海苔飯糰</t>
    <phoneticPr fontId="3" type="noConversion"/>
  </si>
  <si>
    <t>海苔片1片</t>
    <phoneticPr fontId="3" type="noConversion"/>
  </si>
  <si>
    <t>紅豆、綠豆</t>
    <phoneticPr fontId="3" type="noConversion"/>
  </si>
  <si>
    <t>麥角</t>
    <phoneticPr fontId="3" type="noConversion"/>
  </si>
  <si>
    <t>優酪乳</t>
    <phoneticPr fontId="3" type="noConversion"/>
  </si>
  <si>
    <t>原味優酪乳</t>
    <phoneticPr fontId="3" type="noConversion"/>
  </si>
  <si>
    <t>百分比</t>
    <phoneticPr fontId="3" type="noConversion"/>
  </si>
  <si>
    <t>玉米炒蛋</t>
    <phoneticPr fontId="3" type="noConversion"/>
  </si>
  <si>
    <t>紅蘿蔔蒸蛋</t>
    <phoneticPr fontId="3" type="noConversion"/>
  </si>
  <si>
    <t>低脂肉絲</t>
    <phoneticPr fontId="3" type="noConversion"/>
  </si>
  <si>
    <t>京醬豬柳</t>
    <phoneticPr fontId="3" type="noConversion"/>
  </si>
  <si>
    <t>芹香豆干</t>
  </si>
  <si>
    <t>荸薺</t>
    <phoneticPr fontId="3" type="noConversion"/>
  </si>
  <si>
    <t>豆干片</t>
    <phoneticPr fontId="3" type="noConversion"/>
  </si>
  <si>
    <t>芹菜段</t>
    <phoneticPr fontId="3" type="noConversion"/>
  </si>
  <si>
    <r>
      <t>紅豆</t>
    </r>
    <r>
      <rPr>
        <sz val="12"/>
        <rFont val="新細明體"/>
        <family val="1"/>
        <charset val="136"/>
      </rPr>
      <t>紫米粥</t>
    </r>
    <phoneticPr fontId="3" type="noConversion"/>
  </si>
  <si>
    <t>甜麵醬</t>
    <phoneticPr fontId="3" type="noConversion"/>
  </si>
  <si>
    <t>蛋花湯麵</t>
    <phoneticPr fontId="3" type="noConversion"/>
  </si>
  <si>
    <t>海帶湯</t>
  </si>
  <si>
    <t>地瓜牛奶</t>
  </si>
  <si>
    <t>小排骨</t>
    <phoneticPr fontId="3" type="noConversion"/>
  </si>
  <si>
    <t>海帶片</t>
    <phoneticPr fontId="3" type="noConversion"/>
  </si>
  <si>
    <t>雞蛋布丁</t>
    <phoneticPr fontId="3" type="noConversion"/>
  </si>
  <si>
    <t>布丁1個</t>
    <phoneticPr fontId="3" type="noConversion"/>
  </si>
  <si>
    <t>現成品</t>
    <phoneticPr fontId="3" type="noConversion"/>
  </si>
  <si>
    <t>地瓜丁</t>
    <phoneticPr fontId="3" type="noConversion"/>
  </si>
  <si>
    <t>肉末長豆</t>
    <phoneticPr fontId="3" type="noConversion"/>
  </si>
  <si>
    <t>長豆</t>
    <phoneticPr fontId="3" type="noConversion"/>
  </si>
  <si>
    <t>蒸餃4個</t>
    <phoneticPr fontId="3" type="noConversion"/>
  </si>
  <si>
    <t>蛋餅</t>
    <phoneticPr fontId="3" type="noConversion"/>
  </si>
  <si>
    <t>蛋餅皮</t>
    <phoneticPr fontId="3" type="noConversion"/>
  </si>
  <si>
    <t>小魚乾、芹菜</t>
    <phoneticPr fontId="3" type="noConversion"/>
  </si>
  <si>
    <t>糙米飯半碗</t>
    <phoneticPr fontId="3" type="noConversion"/>
  </si>
  <si>
    <t>奶油花菜</t>
    <phoneticPr fontId="3" type="noConversion"/>
  </si>
  <si>
    <t>白花椰菜</t>
    <phoneticPr fontId="3" type="noConversion"/>
  </si>
  <si>
    <t>胚芽飯半碗</t>
    <phoneticPr fontId="3" type="noConversion"/>
  </si>
  <si>
    <t>青江菜</t>
    <phoneticPr fontId="3" type="noConversion"/>
  </si>
  <si>
    <t>全脂奶粉</t>
    <phoneticPr fontId="3" type="noConversion"/>
  </si>
  <si>
    <t>紅蘿蔔豆包</t>
    <phoneticPr fontId="3" type="noConversion"/>
  </si>
  <si>
    <t>豆包絲</t>
    <phoneticPr fontId="3" type="noConversion"/>
  </si>
  <si>
    <t>栗子燉雞</t>
    <phoneticPr fontId="3" type="noConversion"/>
  </si>
  <si>
    <t>雞腿丁</t>
    <phoneticPr fontId="3" type="noConversion"/>
  </si>
  <si>
    <t>玉米筍</t>
    <phoneticPr fontId="3" type="noConversion"/>
  </si>
  <si>
    <t>油菜</t>
    <phoneticPr fontId="3" type="noConversion"/>
  </si>
  <si>
    <t>蘑菇</t>
    <phoneticPr fontId="3" type="noConversion"/>
  </si>
  <si>
    <t>時蔬馬鈴薯湯</t>
    <phoneticPr fontId="3" type="noConversion"/>
  </si>
  <si>
    <t>冰糖牛奶蓮子湯</t>
    <phoneticPr fontId="3" type="noConversion"/>
  </si>
  <si>
    <t>午點</t>
  </si>
  <si>
    <t>豆米漿半杯</t>
    <phoneticPr fontId="3" type="noConversion"/>
  </si>
  <si>
    <t>豬柳條</t>
    <phoneticPr fontId="3" type="noConversion"/>
  </si>
  <si>
    <t>白芝麻</t>
    <phoneticPr fontId="3" type="noConversion"/>
  </si>
  <si>
    <t>烤芝麻肉條</t>
    <phoneticPr fontId="3" type="noConversion"/>
  </si>
  <si>
    <t>A菜</t>
    <phoneticPr fontId="3" type="noConversion"/>
  </si>
  <si>
    <t>番茄</t>
    <phoneticPr fontId="3" type="noConversion"/>
  </si>
  <si>
    <t>番茄雞湯</t>
    <phoneticPr fontId="3" type="noConversion"/>
  </si>
  <si>
    <t>清雞腿丁</t>
    <phoneticPr fontId="3" type="noConversion"/>
  </si>
  <si>
    <t>地瓜大丁</t>
    <phoneticPr fontId="3" type="noConversion"/>
  </si>
  <si>
    <t>大黃瓜排骨湯</t>
    <phoneticPr fontId="3" type="noConversion"/>
  </si>
  <si>
    <t>木瓜牛奶</t>
    <phoneticPr fontId="3" type="noConversion"/>
  </si>
  <si>
    <t>小肉包</t>
    <phoneticPr fontId="3" type="noConversion"/>
  </si>
  <si>
    <t>椒鹽雞塊</t>
    <phoneticPr fontId="3" type="noConversion"/>
  </si>
  <si>
    <t>清胸丁</t>
    <phoneticPr fontId="3" type="noConversion"/>
  </si>
  <si>
    <t>耐炸油</t>
    <phoneticPr fontId="3" type="noConversion"/>
  </si>
  <si>
    <t>桂圓糯米粥</t>
    <phoneticPr fontId="3" type="noConversion"/>
  </si>
  <si>
    <t>紅棗2顆</t>
    <phoneticPr fontId="3" type="noConversion"/>
  </si>
  <si>
    <t>枸杞</t>
    <phoneticPr fontId="3" type="noConversion"/>
  </si>
  <si>
    <t>龍眼</t>
    <phoneticPr fontId="3" type="noConversion"/>
  </si>
  <si>
    <t>紅燒獅子頭</t>
    <phoneticPr fontId="3" type="noConversion"/>
  </si>
  <si>
    <t>洋蔥炒蛋</t>
    <phoneticPr fontId="3" type="noConversion"/>
  </si>
  <si>
    <t>燙四季豆</t>
    <phoneticPr fontId="3" type="noConversion"/>
  </si>
  <si>
    <t>四季豆</t>
    <phoneticPr fontId="3" type="noConversion"/>
  </si>
  <si>
    <t>海帶排骨湯</t>
    <phoneticPr fontId="3" type="noConversion"/>
  </si>
  <si>
    <t>海帶結</t>
    <phoneticPr fontId="3" type="noConversion"/>
  </si>
  <si>
    <t>粉蒸排骨</t>
    <phoneticPr fontId="3" type="noConversion"/>
  </si>
  <si>
    <t>蒸肉粉</t>
    <phoneticPr fontId="3" type="noConversion"/>
  </si>
  <si>
    <t>蛤蜊角瓜</t>
    <phoneticPr fontId="3" type="noConversion"/>
  </si>
  <si>
    <t>角瓜</t>
    <phoneticPr fontId="3" type="noConversion"/>
  </si>
  <si>
    <t>文蛤</t>
    <phoneticPr fontId="3" type="noConversion"/>
  </si>
  <si>
    <t>燙花椰菜</t>
    <phoneticPr fontId="3" type="noConversion"/>
  </si>
  <si>
    <t>竹笙香菇雞湯</t>
    <phoneticPr fontId="3" type="noConversion"/>
  </si>
  <si>
    <t>鈕釦菇</t>
    <phoneticPr fontId="3" type="noConversion"/>
  </si>
  <si>
    <t>竹笙</t>
    <phoneticPr fontId="3" type="noConversion"/>
  </si>
  <si>
    <t>紅糖小饅頭</t>
    <phoneticPr fontId="3" type="noConversion"/>
  </si>
  <si>
    <t>雞腿丁AP</t>
    <phoneticPr fontId="3" type="noConversion"/>
  </si>
  <si>
    <t>雪花糕</t>
    <phoneticPr fontId="3" type="noConversion"/>
  </si>
  <si>
    <t>玉米粉</t>
    <phoneticPr fontId="3" type="noConversion"/>
  </si>
  <si>
    <t>椰子粉</t>
    <phoneticPr fontId="3" type="noConversion"/>
  </si>
  <si>
    <t>水餃皮</t>
    <phoneticPr fontId="3" type="noConversion"/>
  </si>
  <si>
    <t>麻油</t>
    <phoneticPr fontId="3" type="noConversion"/>
  </si>
  <si>
    <t>刈包</t>
    <phoneticPr fontId="3" type="noConversion"/>
  </si>
  <si>
    <t>全麥刈包</t>
    <phoneticPr fontId="3" type="noConversion"/>
  </si>
  <si>
    <t>炒肉片</t>
    <phoneticPr fontId="3" type="noConversion"/>
  </si>
  <si>
    <t>麥茶牛奶</t>
    <phoneticPr fontId="3" type="noConversion"/>
  </si>
  <si>
    <t>麥茶包</t>
    <phoneticPr fontId="3" type="noConversion"/>
  </si>
  <si>
    <t>紫菜湯餃</t>
    <phoneticPr fontId="3" type="noConversion"/>
  </si>
  <si>
    <t>煮甜不辣蘿蔔湯、木瓜</t>
  </si>
  <si>
    <t>西瓜</t>
  </si>
  <si>
    <t>西瓜一份</t>
  </si>
  <si>
    <t>木瓜</t>
  </si>
  <si>
    <t>蔬菜春捲、決明子奶茶</t>
  </si>
  <si>
    <t>芭樂</t>
  </si>
  <si>
    <t>芭樂一份</t>
  </si>
  <si>
    <t>蔬菜燒賣、桃子</t>
  </si>
  <si>
    <t>桃子一份</t>
  </si>
  <si>
    <t>蔬菜手捲1個、香蕉</t>
  </si>
  <si>
    <t>蔬菜手捲1個</t>
  </si>
  <si>
    <t>香蕉一份</t>
  </si>
  <si>
    <t>雞絲麵線、火龍果</t>
  </si>
  <si>
    <t>火龍果</t>
  </si>
  <si>
    <t>火龍果一份</t>
  </si>
  <si>
    <t>扇型煎餅、桂圓茶、水梨</t>
  </si>
  <si>
    <t>百香果</t>
  </si>
  <si>
    <t>百香果一份</t>
  </si>
  <si>
    <t>總計</t>
  </si>
  <si>
    <t>水梨</t>
  </si>
  <si>
    <t>水梨一份</t>
  </si>
  <si>
    <t>捲型果醬起絲土司、葡萄</t>
  </si>
  <si>
    <t>葡萄</t>
  </si>
  <si>
    <t>葡萄一份</t>
  </si>
  <si>
    <t>蘋果</t>
  </si>
  <si>
    <t>蘋果一份</t>
  </si>
  <si>
    <t>餛飩湯(2個)、木瓜</t>
  </si>
  <si>
    <t>紅豆紫米粥、芭樂</t>
  </si>
  <si>
    <t>木瓜一份</t>
  </si>
  <si>
    <t>香蕉</t>
  </si>
  <si>
    <t>奇異果</t>
  </si>
  <si>
    <t>奇異果一份</t>
  </si>
  <si>
    <t>芋圓地瓜湯、西瓜</t>
  </si>
  <si>
    <t>綠豆薏仁湯、桃子</t>
  </si>
  <si>
    <t>綠豆薏仁湯</t>
  </si>
  <si>
    <t>桃子</t>
  </si>
  <si>
    <t>堅果芝麻糊</t>
  </si>
  <si>
    <t>堅果芝麻糊、百香果</t>
  </si>
  <si>
    <t>芝麻、腰果</t>
  </si>
  <si>
    <t>小米、麥片</t>
  </si>
  <si>
    <t>鮮肉米粉湯</t>
  </si>
  <si>
    <t>粗米粉</t>
  </si>
  <si>
    <t xml:space="preserve"> 西瓜</t>
  </si>
  <si>
    <t>鮮肉米粉湯、西瓜</t>
  </si>
  <si>
    <t>桂圓糯米粥、 蘋果</t>
  </si>
  <si>
    <t>雪花糕、奇異果</t>
  </si>
  <si>
    <t>紅豆燕麥湯</t>
  </si>
  <si>
    <t>燕麥</t>
  </si>
  <si>
    <t>紅豆</t>
  </si>
  <si>
    <t>金菇白菜</t>
  </si>
  <si>
    <t>空心菜</t>
  </si>
  <si>
    <t>炒小白菜</t>
  </si>
  <si>
    <t>小白菜</t>
  </si>
  <si>
    <t>蝦鳳梨炒飯半碗 、低脂肉鬆、 炒小白菜、紫菜大骨湯</t>
  </si>
  <si>
    <t>地瓜葉</t>
  </si>
  <si>
    <t>炒地瓜葉</t>
  </si>
  <si>
    <t>炒青江菜</t>
  </si>
  <si>
    <t>炒油菜</t>
  </si>
  <si>
    <t>油菜</t>
  </si>
  <si>
    <t>莧菜魰魚粥、 煎薯餅、 炒油菜</t>
  </si>
  <si>
    <t>鮮菇高麗菜</t>
  </si>
  <si>
    <t>炒空心菜</t>
  </si>
  <si>
    <t>炒油麥菜</t>
  </si>
  <si>
    <t>油麥菜</t>
  </si>
  <si>
    <t>炒鮮菇</t>
  </si>
  <si>
    <t>炒A菜</t>
  </si>
  <si>
    <t>A菜</t>
  </si>
  <si>
    <t>青江菜</t>
  </si>
  <si>
    <t>海鮮炒烏龍麵、豬血糕小1塊、炒青江菜、 大骨筍片湯</t>
  </si>
  <si>
    <t>炒花椰菜</t>
  </si>
  <si>
    <t>花椰菜</t>
  </si>
  <si>
    <t>蒜香小白菜</t>
  </si>
  <si>
    <t>炒高麗菜</t>
  </si>
  <si>
    <t>油飯半碗 、 肉末長豆、 炒空心菜、海帶湯</t>
  </si>
  <si>
    <t>炒大黃瓜</t>
  </si>
  <si>
    <t>鮑菇青江菜</t>
  </si>
  <si>
    <t>炒蘆筍</t>
  </si>
  <si>
    <t>蚵白菜</t>
  </si>
  <si>
    <t>炒蚵白菜</t>
  </si>
  <si>
    <t>蘆筍鮑菇</t>
  </si>
  <si>
    <t>鮭魚炒飯、椒鹽雞塊、 蘆筍鮑菇、味噌湯</t>
  </si>
  <si>
    <t>冬瓜湯</t>
    <phoneticPr fontId="3" type="noConversion"/>
  </si>
  <si>
    <t>蔬菜蛋捲、蘋果汁</t>
    <phoneticPr fontId="3" type="noConversion"/>
  </si>
  <si>
    <t>牛奶大麥粥</t>
    <phoneticPr fontId="3" type="noConversion"/>
  </si>
  <si>
    <t>白飯半碗</t>
    <phoneticPr fontId="3" type="noConversion"/>
  </si>
  <si>
    <t>蒸鮭魚嫩豆腐</t>
    <phoneticPr fontId="3" type="noConversion"/>
  </si>
  <si>
    <t>豆乾炒小黃瓜</t>
    <phoneticPr fontId="3" type="noConversion"/>
  </si>
  <si>
    <t>蔬菜湯</t>
    <phoneticPr fontId="3" type="noConversion"/>
  </si>
  <si>
    <t>蕎麥飯半碗</t>
    <phoneticPr fontId="3" type="noConversion"/>
  </si>
  <si>
    <t>蒸蛋</t>
    <phoneticPr fontId="3" type="noConversion"/>
  </si>
  <si>
    <t>洋芋雞蓉</t>
    <phoneticPr fontId="3" type="noConversion"/>
  </si>
  <si>
    <t>翡翠小魚羹</t>
    <phoneticPr fontId="3" type="noConversion"/>
  </si>
  <si>
    <t>烤土司捲、鮮奶半杯</t>
    <phoneticPr fontId="3" type="noConversion"/>
  </si>
  <si>
    <t>馬鈴薯肉末</t>
    <phoneticPr fontId="3" type="noConversion"/>
  </si>
  <si>
    <t>蕃茄豆腐</t>
    <phoneticPr fontId="3" type="noConversion"/>
  </si>
  <si>
    <t>珍菇三絲湯</t>
    <phoneticPr fontId="3" type="noConversion"/>
  </si>
  <si>
    <t>水果起司三明治、豆漿</t>
    <phoneticPr fontId="3" type="noConversion"/>
  </si>
  <si>
    <t>芝麻飯半碗</t>
    <phoneticPr fontId="3" type="noConversion"/>
  </si>
  <si>
    <t>洋蔥牛柳</t>
    <phoneticPr fontId="3" type="noConversion"/>
  </si>
  <si>
    <t>玉米炒蛋</t>
    <phoneticPr fontId="3" type="noConversion"/>
  </si>
  <si>
    <t>蒸芋頭糕、蘋果牛奶半杯</t>
    <phoneticPr fontId="3" type="noConversion"/>
  </si>
  <si>
    <t>早餐穀片、鮮奶酪100g</t>
    <phoneticPr fontId="3" type="noConversion"/>
  </si>
  <si>
    <t>水果優格</t>
    <phoneticPr fontId="3" type="noConversion"/>
  </si>
  <si>
    <t>黑糖蒸糕1小塊、鮮奶半杯</t>
    <phoneticPr fontId="3" type="noConversion"/>
  </si>
  <si>
    <t>蕎麥小米飯半碗</t>
    <phoneticPr fontId="3" type="noConversion"/>
  </si>
  <si>
    <t>三杯雞丁</t>
    <phoneticPr fontId="3" type="noConversion"/>
  </si>
  <si>
    <t>魚香茄子</t>
    <phoneticPr fontId="3" type="noConversion"/>
  </si>
  <si>
    <t>紫菜蛋花湯</t>
    <phoneticPr fontId="3" type="noConversion"/>
  </si>
  <si>
    <t>豆腐涼薯絞肉</t>
    <phoneticPr fontId="3" type="noConversion"/>
  </si>
  <si>
    <t>紅蘿蔔蒸蛋</t>
    <phoneticPr fontId="3" type="noConversion"/>
  </si>
  <si>
    <t>蛤利薑絲湯</t>
    <phoneticPr fontId="3" type="noConversion"/>
  </si>
  <si>
    <t>紫米飯半碗</t>
    <phoneticPr fontId="3" type="noConversion"/>
  </si>
  <si>
    <t>茄汁里肌</t>
    <phoneticPr fontId="3" type="noConversion"/>
  </si>
  <si>
    <t>韭黃雞絲</t>
    <phoneticPr fontId="3" type="noConversion"/>
  </si>
  <si>
    <t>薑絲魚生湯</t>
    <phoneticPr fontId="3" type="noConversion"/>
  </si>
  <si>
    <t>100%天然全麥脆片、鮮奶半杯</t>
    <phoneticPr fontId="3" type="noConversion"/>
  </si>
  <si>
    <t>白飯半碗</t>
    <phoneticPr fontId="3" type="noConversion"/>
  </si>
  <si>
    <t>蔬菜珍珠丸子</t>
    <phoneticPr fontId="3" type="noConversion"/>
  </si>
  <si>
    <t>煮黑輪</t>
    <phoneticPr fontId="3" type="noConversion"/>
  </si>
  <si>
    <t>香菇雞湯</t>
    <phoneticPr fontId="3" type="noConversion"/>
  </si>
  <si>
    <t>黃瓜肉鬆壽司、奶酪1個</t>
    <phoneticPr fontId="3" type="noConversion"/>
  </si>
  <si>
    <t>小兔包2個、鮮奶半杯</t>
    <phoneticPr fontId="3" type="noConversion"/>
  </si>
  <si>
    <t>清蒸鱈魚</t>
    <phoneticPr fontId="3" type="noConversion"/>
  </si>
  <si>
    <t>三色炒蛋</t>
    <phoneticPr fontId="3" type="noConversion"/>
  </si>
  <si>
    <t>羅宋湯</t>
    <phoneticPr fontId="3" type="noConversion"/>
  </si>
  <si>
    <t>米乳半杯、雜糧小饅頭1個</t>
    <phoneticPr fontId="3" type="noConversion"/>
  </si>
  <si>
    <t>糙米飯半碗</t>
    <phoneticPr fontId="3" type="noConversion"/>
  </si>
  <si>
    <t>軟溜雞丁</t>
    <phoneticPr fontId="3" type="noConversion"/>
  </si>
  <si>
    <t>青花炒肉絲</t>
    <phoneticPr fontId="3" type="noConversion"/>
  </si>
  <si>
    <t>玉米濃湯</t>
    <phoneticPr fontId="3" type="noConversion"/>
  </si>
  <si>
    <t>玉米脆片、鮮奶1杯</t>
    <phoneticPr fontId="3" type="noConversion"/>
  </si>
  <si>
    <t>瓜仔肉燥</t>
    <phoneticPr fontId="3" type="noConversion"/>
  </si>
  <si>
    <t>番茄炒蛋</t>
    <phoneticPr fontId="3" type="noConversion"/>
  </si>
  <si>
    <t>鮮菇湯</t>
    <phoneticPr fontId="3" type="noConversion"/>
  </si>
  <si>
    <t>麥芽牛奶1杯、小餐包1個</t>
    <phoneticPr fontId="3" type="noConversion"/>
  </si>
  <si>
    <t>京醬豬柳</t>
    <phoneticPr fontId="3" type="noConversion"/>
  </si>
  <si>
    <t>芹香豆干</t>
    <phoneticPr fontId="3" type="noConversion"/>
  </si>
  <si>
    <t>銀魚莧菜湯</t>
    <phoneticPr fontId="3" type="noConversion"/>
  </si>
  <si>
    <t>燕麥飯半碗</t>
    <phoneticPr fontId="3" type="noConversion"/>
  </si>
  <si>
    <t>蒸肉餅</t>
    <phoneticPr fontId="3" type="noConversion"/>
  </si>
  <si>
    <t>奶油鮮蝦花菜</t>
    <phoneticPr fontId="3" type="noConversion"/>
  </si>
  <si>
    <t>鮮菇雞絲湯</t>
    <phoneticPr fontId="3" type="noConversion"/>
  </si>
  <si>
    <t>胚芽飯半碗</t>
    <phoneticPr fontId="3" type="noConversion"/>
  </si>
  <si>
    <t>麵輪燒肉</t>
    <phoneticPr fontId="3" type="noConversion"/>
  </si>
  <si>
    <t>紅蘿蔔豆包</t>
    <phoneticPr fontId="3" type="noConversion"/>
  </si>
  <si>
    <t>絲瓜蛤蜊湯</t>
    <phoneticPr fontId="3" type="noConversion"/>
  </si>
  <si>
    <t>小魚粥</t>
    <phoneticPr fontId="3" type="noConversion"/>
  </si>
  <si>
    <t>栗子燉雞</t>
    <phoneticPr fontId="3" type="noConversion"/>
  </si>
  <si>
    <t>草莓土司1片、玉米濃湯</t>
    <phoneticPr fontId="3" type="noConversion"/>
  </si>
  <si>
    <t>三杯透抽</t>
    <phoneticPr fontId="3" type="noConversion"/>
  </si>
  <si>
    <t>滷白菜</t>
    <phoneticPr fontId="3" type="noConversion"/>
  </si>
  <si>
    <t>菱角排骨湯</t>
    <phoneticPr fontId="3" type="noConversion"/>
  </si>
  <si>
    <t>奶皇包1個、豆米漿半杯</t>
    <phoneticPr fontId="3" type="noConversion"/>
  </si>
  <si>
    <t>蛋花湯麵</t>
    <phoneticPr fontId="3" type="noConversion"/>
  </si>
  <si>
    <t>白飯半碗</t>
    <phoneticPr fontId="3" type="noConversion"/>
  </si>
  <si>
    <t>清蒸鮭魚</t>
    <phoneticPr fontId="3" type="noConversion"/>
  </si>
  <si>
    <t>什錦蒟蒻</t>
    <phoneticPr fontId="3" type="noConversion"/>
  </si>
  <si>
    <t>番茄雞湯</t>
    <phoneticPr fontId="3" type="noConversion"/>
  </si>
  <si>
    <t>麥香小饅頭1個、薏仁牛奶1杯</t>
    <phoneticPr fontId="3" type="noConversion"/>
  </si>
  <si>
    <t>烤小翅腿</t>
    <phoneticPr fontId="3" type="noConversion"/>
  </si>
  <si>
    <t>豆芽炒火腿</t>
    <phoneticPr fontId="3" type="noConversion"/>
  </si>
  <si>
    <t>大黃瓜排骨湯</t>
    <phoneticPr fontId="3" type="noConversion"/>
  </si>
  <si>
    <t>洋芋濃湯、土司1片</t>
    <phoneticPr fontId="3" type="noConversion"/>
  </si>
  <si>
    <t>五彩蝦仁</t>
    <phoneticPr fontId="3" type="noConversion"/>
  </si>
  <si>
    <t>蔥燒嫩豆腐</t>
    <phoneticPr fontId="3" type="noConversion"/>
  </si>
  <si>
    <t>迷迭香雞片湯</t>
    <phoneticPr fontId="3" type="noConversion"/>
  </si>
  <si>
    <t>烤餅乾、木瓜牛奶1杯</t>
    <phoneticPr fontId="3" type="noConversion"/>
  </si>
  <si>
    <t>小肉包1個、鮮奶半杯</t>
    <phoneticPr fontId="3" type="noConversion"/>
  </si>
  <si>
    <t>洋蔥炒蛋</t>
  </si>
  <si>
    <t>海結排骨湯</t>
  </si>
  <si>
    <t>紅糖饅頭60克、豆漿1杯</t>
    <phoneticPr fontId="3" type="noConversion"/>
  </si>
  <si>
    <t>香煎潮雕魚</t>
    <phoneticPr fontId="3" type="noConversion"/>
  </si>
  <si>
    <t>雪菜豆乾丁</t>
    <phoneticPr fontId="3" type="noConversion"/>
  </si>
  <si>
    <t>冬瓜干貝湯</t>
    <phoneticPr fontId="3" type="noConversion"/>
  </si>
  <si>
    <t>營養師：</t>
    <phoneticPr fontId="3" type="noConversion"/>
  </si>
  <si>
    <t>早         點</t>
    <phoneticPr fontId="3" type="noConversion"/>
  </si>
  <si>
    <t>午                                         餐</t>
    <phoneticPr fontId="3" type="noConversion"/>
  </si>
  <si>
    <t>午         點</t>
    <phoneticPr fontId="3" type="noConversion"/>
  </si>
  <si>
    <t>皮蛋肉粥</t>
    <phoneticPr fontId="3" type="noConversion"/>
  </si>
  <si>
    <t>烤餅乾、鮮奶、西瓜</t>
    <phoneticPr fontId="3" type="noConversion"/>
  </si>
  <si>
    <t>蘿蔔糕湯</t>
    <phoneticPr fontId="3" type="noConversion"/>
  </si>
  <si>
    <t>高鈣牛奶、小籠包、芭樂</t>
    <phoneticPr fontId="3" type="noConversion"/>
  </si>
  <si>
    <t>小餐包1個、麥茶</t>
    <phoneticPr fontId="3" type="noConversion"/>
  </si>
  <si>
    <t>圓圓地瓜餅1個、鮮奶水果果凍</t>
    <phoneticPr fontId="3" type="noConversion"/>
  </si>
  <si>
    <t>麥茶</t>
    <phoneticPr fontId="3" type="noConversion"/>
  </si>
  <si>
    <t>火龍果一份</t>
    <phoneticPr fontId="3" type="noConversion"/>
  </si>
  <si>
    <t>鳳梨一份</t>
    <phoneticPr fontId="3" type="noConversion"/>
  </si>
  <si>
    <t>鮮奶水果果凍</t>
    <phoneticPr fontId="3" type="noConversion"/>
  </si>
  <si>
    <t>絲瓜麵線</t>
    <phoneticPr fontId="3" type="noConversion"/>
  </si>
  <si>
    <t>海苔飯糰、優酪乳1瓶、百香果</t>
    <phoneticPr fontId="3" type="noConversion"/>
  </si>
  <si>
    <t>雞蛋布丁、地瓜牛奶、香蕉</t>
    <phoneticPr fontId="3" type="noConversion"/>
  </si>
  <si>
    <t>鮪魚三明治、麥茶</t>
    <phoneticPr fontId="3" type="noConversion"/>
  </si>
  <si>
    <t>麥茶包</t>
    <phoneticPr fontId="3" type="noConversion"/>
  </si>
  <si>
    <t>麥茶</t>
    <phoneticPr fontId="3" type="noConversion"/>
  </si>
  <si>
    <t>蒸餃4個、味噌湯、蘋果</t>
    <phoneticPr fontId="3" type="noConversion"/>
  </si>
  <si>
    <t>蘋果</t>
    <phoneticPr fontId="3" type="noConversion"/>
  </si>
  <si>
    <t>蘋果一份</t>
    <phoneticPr fontId="3" type="noConversion"/>
  </si>
  <si>
    <t>蛋餅、綠豆沙牛奶</t>
    <phoneticPr fontId="3" type="noConversion"/>
  </si>
  <si>
    <t>綠豆沙牛奶</t>
    <phoneticPr fontId="3" type="noConversion"/>
  </si>
  <si>
    <t>綠豆仁</t>
    <phoneticPr fontId="3" type="noConversion"/>
  </si>
  <si>
    <t>紅豆麥片湯</t>
    <phoneticPr fontId="3" type="noConversion"/>
  </si>
  <si>
    <t>蚵仔麵線、奇異果</t>
    <phoneticPr fontId="3" type="noConversion"/>
  </si>
  <si>
    <t>蒲瓜炒蛋</t>
    <phoneticPr fontId="3" type="noConversion"/>
  </si>
  <si>
    <t>蒲瓜炒蛋</t>
    <phoneticPr fontId="3" type="noConversion"/>
  </si>
  <si>
    <t>蒲瓜</t>
    <phoneticPr fontId="3" type="noConversion"/>
  </si>
  <si>
    <t>芋香西米露、芭樂</t>
    <phoneticPr fontId="3" type="noConversion"/>
  </si>
  <si>
    <t>芭樂</t>
    <phoneticPr fontId="3" type="noConversion"/>
  </si>
  <si>
    <t>芭樂一份</t>
    <phoneticPr fontId="3" type="noConversion"/>
  </si>
  <si>
    <t>擔仔麵</t>
    <phoneticPr fontId="3" type="noConversion"/>
  </si>
  <si>
    <t>紅豆燕麥湯、優酪乳1瓶、葡萄</t>
    <phoneticPr fontId="3" type="noConversion"/>
  </si>
  <si>
    <t>紫菜湯餃</t>
    <phoneticPr fontId="3" type="noConversion"/>
  </si>
  <si>
    <t>刈包、麥茶牛奶、水梨</t>
    <phoneticPr fontId="3" type="noConversion"/>
  </si>
  <si>
    <t>大黃瓜丸片湯</t>
    <phoneticPr fontId="3" type="noConversion"/>
  </si>
  <si>
    <t>大黃瓜丸片湯</t>
    <phoneticPr fontId="3" type="noConversion"/>
  </si>
  <si>
    <t>小貢丸切片</t>
    <phoneticPr fontId="3" type="noConversion"/>
  </si>
  <si>
    <t>綜合豆花湯、蘋果</t>
    <phoneticPr fontId="3" type="noConversion"/>
  </si>
  <si>
    <t>牛奶蓮子湯、火龍果</t>
    <phoneticPr fontId="3" type="noConversion"/>
  </si>
  <si>
    <t>茄汁通心麵</t>
    <phoneticPr fontId="3" type="noConversion"/>
  </si>
  <si>
    <t>茄汁通心麵、烤芝麻肉條、什錦花椰菜、 蘑菇濃湯</t>
    <phoneticPr fontId="3" type="noConversion"/>
  </si>
  <si>
    <r>
      <t>*</t>
    </r>
    <r>
      <rPr>
        <sz val="18"/>
        <rFont val="細明體"/>
        <family val="3"/>
        <charset val="136"/>
      </rPr>
      <t>本園肉類食材採用國內在地牛肉、豬肉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</si>
</sst>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76" formatCode="m&quot;月&quot;d&quot;日&quot;"/>
    <numFmt numFmtId="177" formatCode="0.0"/>
    <numFmt numFmtId="178" formatCode="0_);[Red]\(0\)"/>
    <numFmt numFmtId="179" formatCode="0.0_ "/>
    <numFmt numFmtId="180" formatCode="0.0;_℀"/>
    <numFmt numFmtId="181" formatCode="0.0_);[Red]\(0.0\)"/>
    <numFmt numFmtId="182" formatCode="0.0;_ۿ"/>
    <numFmt numFmtId="183" formatCode="0_ "/>
    <numFmt numFmtId="184" formatCode="0.0;_ÿ"/>
    <numFmt numFmtId="185" formatCode="0;_ۿ"/>
    <numFmt numFmtId="186" formatCode="0;_ࣿ"/>
    <numFmt numFmtId="187" formatCode="0;_臿"/>
  </numFmts>
  <fonts count="5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新細明體"/>
      <family val="1"/>
      <charset val="136"/>
    </font>
    <font>
      <sz val="14"/>
      <name val="華康細圓體"/>
      <family val="3"/>
      <charset val="136"/>
    </font>
    <font>
      <sz val="12"/>
      <name val="華康細圓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華康細圓體"/>
      <family val="3"/>
      <charset val="136"/>
    </font>
    <font>
      <sz val="10"/>
      <name val="新細明體"/>
      <family val="1"/>
      <charset val="136"/>
    </font>
    <font>
      <sz val="12"/>
      <color indexed="57"/>
      <name val="華康細圓體"/>
      <family val="3"/>
      <charset val="136"/>
    </font>
    <font>
      <sz val="12"/>
      <color indexed="57"/>
      <name val="新細明體"/>
      <family val="1"/>
      <charset val="136"/>
    </font>
    <font>
      <sz val="12"/>
      <color indexed="57"/>
      <name val="Times New Roman"/>
      <family val="1"/>
    </font>
    <font>
      <sz val="12"/>
      <color indexed="57"/>
      <name val="細明體"/>
      <family val="3"/>
      <charset val="136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7"/>
      <name val="新細明體"/>
      <family val="1"/>
      <charset val="136"/>
    </font>
    <font>
      <sz val="12"/>
      <color indexed="17"/>
      <name val="Times New Roman"/>
      <family val="1"/>
    </font>
    <font>
      <sz val="12"/>
      <color indexed="17"/>
      <name val="細明體"/>
      <family val="3"/>
      <charset val="136"/>
    </font>
    <font>
      <sz val="12"/>
      <color indexed="17"/>
      <name val="華康細圓體"/>
      <family val="3"/>
      <charset val="136"/>
    </font>
    <font>
      <sz val="11"/>
      <color indexed="17"/>
      <name val="華康細圓體"/>
      <family val="3"/>
      <charset val="136"/>
    </font>
    <font>
      <sz val="11"/>
      <color indexed="17"/>
      <name val="Times New Roman"/>
      <family val="1"/>
    </font>
    <font>
      <sz val="11"/>
      <color indexed="17"/>
      <name val="新細明體"/>
      <family val="1"/>
      <charset val="136"/>
    </font>
    <font>
      <b/>
      <sz val="14"/>
      <color indexed="17"/>
      <name val="華康細圓體"/>
      <family val="3"/>
      <charset val="136"/>
    </font>
    <font>
      <sz val="12"/>
      <name val="新細明體"/>
      <family val="1"/>
      <charset val="136"/>
    </font>
    <font>
      <b/>
      <sz val="14"/>
      <name val="華康細圓體"/>
      <family val="3"/>
      <charset val="136"/>
    </font>
    <font>
      <sz val="12"/>
      <color indexed="12"/>
      <name val="華康細圓體"/>
      <family val="3"/>
      <charset val="136"/>
    </font>
    <font>
      <b/>
      <sz val="16"/>
      <name val="新細明體"/>
      <family val="1"/>
      <charset val="136"/>
    </font>
    <font>
      <b/>
      <sz val="12"/>
      <name val="華康細圓體"/>
      <family val="3"/>
      <charset val="136"/>
    </font>
    <font>
      <sz val="11"/>
      <color indexed="8"/>
      <name val="新細明體"/>
      <family val="1"/>
      <charset val="136"/>
    </font>
    <font>
      <sz val="12"/>
      <name val="標楷體"/>
      <family val="4"/>
      <charset val="136"/>
    </font>
    <font>
      <sz val="12"/>
      <name val="Arial"/>
      <family val="2"/>
    </font>
    <font>
      <sz val="11"/>
      <color indexed="8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16"/>
      <color indexed="17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6"/>
      <color rgb="FF00B050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sz val="12"/>
      <color indexed="17"/>
      <name val="新細明體"/>
      <family val="1"/>
      <charset val="136"/>
      <scheme val="minor"/>
    </font>
    <font>
      <b/>
      <sz val="16"/>
      <color indexed="17"/>
      <name val="新細明體"/>
      <family val="1"/>
      <charset val="136"/>
      <scheme val="minor"/>
    </font>
    <font>
      <b/>
      <sz val="14"/>
      <color indexed="17"/>
      <name val="新細明體"/>
      <family val="1"/>
      <charset val="136"/>
      <scheme val="minor"/>
    </font>
    <font>
      <sz val="12"/>
      <color indexed="57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8"/>
      <name val="Arial"/>
      <family val="2"/>
    </font>
    <font>
      <sz val="18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51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34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8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/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0" xfId="0" applyFont="1"/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center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/>
    <xf numFmtId="0" fontId="21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shrinkToFit="1"/>
    </xf>
    <xf numFmtId="177" fontId="22" fillId="0" borderId="1" xfId="0" applyNumberFormat="1" applyFont="1" applyBorder="1" applyAlignment="1">
      <alignment horizontal="center" vertical="center"/>
    </xf>
    <xf numFmtId="177" fontId="21" fillId="0" borderId="1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9" fillId="0" borderId="0" xfId="0" applyFont="1"/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Border="1"/>
    <xf numFmtId="0" fontId="29" fillId="0" borderId="1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7" fillId="0" borderId="1" xfId="0" applyFont="1" applyBorder="1" applyAlignment="1">
      <alignment vertical="center" shrinkToFit="1"/>
    </xf>
    <xf numFmtId="0" fontId="29" fillId="0" borderId="0" xfId="0" applyFont="1" applyAlignment="1"/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/>
    </xf>
    <xf numFmtId="177" fontId="21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Fill="1" applyBorder="1" applyAlignment="1"/>
    <xf numFmtId="0" fontId="7" fillId="0" borderId="1" xfId="0" applyNumberFormat="1" applyFont="1" applyBorder="1" applyAlignment="1">
      <alignment horizontal="center" vertical="center" wrapText="1" shrinkToFit="1"/>
    </xf>
    <xf numFmtId="0" fontId="0" fillId="0" borderId="2" xfId="0" applyFill="1" applyBorder="1" applyAlignment="1"/>
    <xf numFmtId="0" fontId="2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9" fillId="0" borderId="5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3" fillId="0" borderId="1" xfId="0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shrinkToFit="1"/>
    </xf>
    <xf numFmtId="0" fontId="12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/>
    <xf numFmtId="0" fontId="16" fillId="0" borderId="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29" fillId="0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1" fillId="3" borderId="1" xfId="0" applyFont="1" applyFill="1" applyBorder="1" applyAlignment="1" applyProtection="1">
      <alignment horizontal="left" vertical="center"/>
      <protection hidden="1"/>
    </xf>
    <xf numFmtId="0" fontId="31" fillId="3" borderId="1" xfId="0" applyFont="1" applyFill="1" applyBorder="1" applyAlignment="1" applyProtection="1">
      <alignment horizontal="center" vertical="center"/>
      <protection hidden="1"/>
    </xf>
    <xf numFmtId="0" fontId="31" fillId="3" borderId="1" xfId="0" applyFont="1" applyFill="1" applyBorder="1" applyAlignment="1" applyProtection="1">
      <alignment horizontal="left" vertical="center"/>
      <protection locked="0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 applyProtection="1">
      <alignment vertical="center"/>
      <protection locked="0"/>
    </xf>
    <xf numFmtId="0" fontId="31" fillId="3" borderId="1" xfId="0" applyFont="1" applyFill="1" applyBorder="1" applyAlignment="1" applyProtection="1">
      <alignment vertical="center"/>
      <protection hidden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/>
    <xf numFmtId="0" fontId="2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8" fontId="0" fillId="0" borderId="1" xfId="3" applyNumberFormat="1" applyFont="1" applyFill="1" applyBorder="1" applyAlignment="1">
      <alignment horizontal="center" vertical="center"/>
    </xf>
    <xf numFmtId="178" fontId="0" fillId="0" borderId="2" xfId="3" applyNumberFormat="1" applyFont="1" applyFill="1" applyBorder="1" applyAlignment="1">
      <alignment horizontal="center" vertical="center"/>
    </xf>
    <xf numFmtId="178" fontId="0" fillId="0" borderId="1" xfId="2" applyNumberFormat="1" applyFont="1" applyFill="1" applyBorder="1" applyAlignment="1">
      <alignment horizontal="center" vertical="center" wrapText="1"/>
    </xf>
    <xf numFmtId="178" fontId="0" fillId="0" borderId="1" xfId="3" applyNumberFormat="1" applyFont="1" applyFill="1" applyBorder="1" applyAlignment="1">
      <alignment horizontal="center" vertical="center" wrapText="1"/>
    </xf>
    <xf numFmtId="178" fontId="0" fillId="0" borderId="2" xfId="3" applyNumberFormat="1" applyFont="1" applyFill="1" applyBorder="1" applyAlignment="1">
      <alignment horizontal="center" vertical="center" wrapText="1"/>
    </xf>
    <xf numFmtId="178" fontId="2" fillId="0" borderId="1" xfId="6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0" fontId="40" fillId="0" borderId="5" xfId="3" applyFont="1" applyBorder="1" applyAlignment="1">
      <alignment horizontal="center" wrapText="1"/>
    </xf>
    <xf numFmtId="0" fontId="40" fillId="0" borderId="5" xfId="3" applyFont="1" applyBorder="1" applyAlignment="1">
      <alignment horizontal="center"/>
    </xf>
    <xf numFmtId="0" fontId="40" fillId="0" borderId="11" xfId="3" applyFont="1" applyBorder="1" applyAlignment="1">
      <alignment horizontal="center" vertical="center"/>
    </xf>
    <xf numFmtId="1" fontId="41" fillId="0" borderId="5" xfId="0" applyNumberFormat="1" applyFont="1" applyBorder="1" applyAlignment="1">
      <alignment horizontal="center" vertical="center"/>
    </xf>
    <xf numFmtId="0" fontId="40" fillId="0" borderId="1" xfId="3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7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179" fontId="2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81" fontId="21" fillId="0" borderId="1" xfId="0" applyNumberFormat="1" applyFont="1" applyFill="1" applyBorder="1" applyAlignment="1">
      <alignment horizontal="center" vertical="center"/>
    </xf>
    <xf numFmtId="179" fontId="21" fillId="0" borderId="1" xfId="0" applyNumberFormat="1" applyFont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/>
    </xf>
    <xf numFmtId="179" fontId="2" fillId="0" borderId="7" xfId="0" applyNumberFormat="1" applyFont="1" applyBorder="1" applyAlignment="1">
      <alignment horizontal="center" vertical="center" shrinkToFit="1"/>
    </xf>
    <xf numFmtId="179" fontId="2" fillId="0" borderId="0" xfId="0" applyNumberFormat="1" applyFont="1" applyBorder="1" applyAlignment="1">
      <alignment horizontal="center" vertical="center" shrinkToFit="1"/>
    </xf>
    <xf numFmtId="179" fontId="21" fillId="0" borderId="1" xfId="0" applyNumberFormat="1" applyFont="1" applyFill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179" fontId="0" fillId="0" borderId="0" xfId="0" applyNumberFormat="1"/>
    <xf numFmtId="179" fontId="15" fillId="0" borderId="1" xfId="0" applyNumberFormat="1" applyFont="1" applyBorder="1" applyAlignment="1">
      <alignment horizontal="center" vertical="center"/>
    </xf>
    <xf numFmtId="179" fontId="24" fillId="0" borderId="1" xfId="0" applyNumberFormat="1" applyFont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179" fontId="21" fillId="0" borderId="7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39" fillId="0" borderId="1" xfId="0" applyNumberFormat="1" applyFont="1" applyBorder="1" applyAlignment="1">
      <alignment horizontal="center"/>
    </xf>
    <xf numFmtId="179" fontId="15" fillId="0" borderId="1" xfId="0" applyNumberFormat="1" applyFont="1" applyFill="1" applyBorder="1" applyAlignment="1">
      <alignment horizontal="center" vertical="center"/>
    </xf>
    <xf numFmtId="182" fontId="21" fillId="0" borderId="1" xfId="0" applyNumberFormat="1" applyFont="1" applyBorder="1" applyAlignment="1">
      <alignment horizontal="center" vertical="center"/>
    </xf>
    <xf numFmtId="182" fontId="15" fillId="0" borderId="1" xfId="0" applyNumberFormat="1" applyFont="1" applyBorder="1" applyAlignment="1">
      <alignment horizontal="center" vertical="center"/>
    </xf>
    <xf numFmtId="179" fontId="22" fillId="0" borderId="11" xfId="0" applyNumberFormat="1" applyFont="1" applyBorder="1" applyAlignment="1">
      <alignment horizontal="center" vertical="center"/>
    </xf>
    <xf numFmtId="179" fontId="21" fillId="0" borderId="11" xfId="0" applyNumberFormat="1" applyFont="1" applyBorder="1" applyAlignment="1">
      <alignment horizontal="center" vertical="center"/>
    </xf>
    <xf numFmtId="179" fontId="21" fillId="0" borderId="5" xfId="0" applyNumberFormat="1" applyFont="1" applyBorder="1" applyAlignment="1">
      <alignment horizontal="center" vertical="center"/>
    </xf>
    <xf numFmtId="179" fontId="21" fillId="0" borderId="12" xfId="0" applyNumberFormat="1" applyFont="1" applyBorder="1" applyAlignment="1">
      <alignment horizontal="center" vertical="center"/>
    </xf>
    <xf numFmtId="179" fontId="21" fillId="0" borderId="7" xfId="0" applyNumberFormat="1" applyFont="1" applyFill="1" applyBorder="1" applyAlignment="1">
      <alignment horizontal="center" vertical="center"/>
    </xf>
    <xf numFmtId="179" fontId="21" fillId="0" borderId="2" xfId="0" applyNumberFormat="1" applyFont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shrinkToFit="1"/>
    </xf>
    <xf numFmtId="180" fontId="2" fillId="0" borderId="7" xfId="0" applyNumberFormat="1" applyFont="1" applyBorder="1" applyAlignment="1">
      <alignment horizontal="center" vertical="center" shrinkToFit="1"/>
    </xf>
    <xf numFmtId="1" fontId="40" fillId="0" borderId="7" xfId="0" applyNumberFormat="1" applyFont="1" applyBorder="1" applyAlignment="1">
      <alignment horizontal="center"/>
    </xf>
    <xf numFmtId="179" fontId="22" fillId="0" borderId="1" xfId="0" applyNumberFormat="1" applyFont="1" applyBorder="1" applyAlignment="1">
      <alignment horizontal="center" vertical="center"/>
    </xf>
    <xf numFmtId="179" fontId="21" fillId="0" borderId="1" xfId="0" applyNumberFormat="1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9" fontId="40" fillId="0" borderId="1" xfId="750" applyFont="1" applyBorder="1" applyAlignment="1">
      <alignment horizontal="center" vertical="center"/>
    </xf>
    <xf numFmtId="9" fontId="40" fillId="0" borderId="7" xfId="750" applyFont="1" applyBorder="1" applyAlignment="1">
      <alignment horizontal="center" vertical="center"/>
    </xf>
    <xf numFmtId="0" fontId="0" fillId="0" borderId="1" xfId="0" applyFont="1" applyBorder="1"/>
    <xf numFmtId="17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184" fontId="0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84" fontId="0" fillId="0" borderId="2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2" fillId="0" borderId="7" xfId="0" applyNumberFormat="1" applyFont="1" applyBorder="1" applyAlignment="1">
      <alignment horizontal="center" vertical="center"/>
    </xf>
    <xf numFmtId="184" fontId="0" fillId="0" borderId="0" xfId="0" applyNumberFormat="1"/>
    <xf numFmtId="184" fontId="0" fillId="0" borderId="7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 shrinkToFit="1"/>
    </xf>
    <xf numFmtId="184" fontId="2" fillId="0" borderId="7" xfId="0" applyNumberFormat="1" applyFont="1" applyBorder="1" applyAlignment="1">
      <alignment horizontal="center" vertical="center" shrinkToFit="1"/>
    </xf>
    <xf numFmtId="184" fontId="0" fillId="0" borderId="1" xfId="0" applyNumberFormat="1" applyFont="1" applyBorder="1"/>
    <xf numFmtId="184" fontId="0" fillId="0" borderId="1" xfId="0" applyNumberFormat="1" applyBorder="1"/>
    <xf numFmtId="179" fontId="2" fillId="0" borderId="1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 shrinkToFit="1"/>
    </xf>
    <xf numFmtId="179" fontId="21" fillId="0" borderId="0" xfId="0" applyNumberFormat="1" applyFont="1"/>
    <xf numFmtId="179" fontId="21" fillId="0" borderId="1" xfId="0" applyNumberFormat="1" applyFont="1" applyBorder="1"/>
    <xf numFmtId="179" fontId="15" fillId="0" borderId="7" xfId="0" applyNumberFormat="1" applyFont="1" applyBorder="1" applyAlignment="1">
      <alignment horizontal="center" vertical="center"/>
    </xf>
    <xf numFmtId="179" fontId="0" fillId="0" borderId="1" xfId="0" applyNumberFormat="1" applyBorder="1"/>
    <xf numFmtId="179" fontId="43" fillId="0" borderId="1" xfId="0" applyNumberFormat="1" applyFont="1" applyBorder="1" applyAlignment="1">
      <alignment horizontal="center" vertical="center" shrinkToFit="1"/>
    </xf>
    <xf numFmtId="179" fontId="43" fillId="0" borderId="1" xfId="0" applyNumberFormat="1" applyFont="1" applyBorder="1" applyAlignment="1">
      <alignment horizontal="center" vertical="center"/>
    </xf>
    <xf numFmtId="179" fontId="43" fillId="0" borderId="1" xfId="0" applyNumberFormat="1" applyFont="1" applyFill="1" applyBorder="1" applyAlignment="1">
      <alignment horizontal="center" vertical="center"/>
    </xf>
    <xf numFmtId="179" fontId="44" fillId="0" borderId="1" xfId="0" applyNumberFormat="1" applyFont="1" applyBorder="1" applyAlignment="1">
      <alignment horizontal="center" vertical="center"/>
    </xf>
    <xf numFmtId="179" fontId="43" fillId="0" borderId="1" xfId="0" applyNumberFormat="1" applyFont="1" applyBorder="1" applyAlignment="1">
      <alignment horizontal="center"/>
    </xf>
    <xf numFmtId="183" fontId="45" fillId="0" borderId="1" xfId="0" applyNumberFormat="1" applyFont="1" applyBorder="1" applyAlignment="1">
      <alignment horizontal="center"/>
    </xf>
    <xf numFmtId="179" fontId="46" fillId="0" borderId="1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83" fontId="4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83" fontId="39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77" fontId="43" fillId="0" borderId="1" xfId="0" applyNumberFormat="1" applyFont="1" applyBorder="1" applyAlignment="1">
      <alignment horizontal="center" vertical="center"/>
    </xf>
    <xf numFmtId="177" fontId="21" fillId="0" borderId="1" xfId="0" applyNumberFormat="1" applyFont="1" applyBorder="1"/>
    <xf numFmtId="177" fontId="21" fillId="0" borderId="2" xfId="0" applyNumberFormat="1" applyFont="1" applyBorder="1"/>
    <xf numFmtId="0" fontId="2" fillId="0" borderId="2" xfId="0" applyFont="1" applyBorder="1" applyAlignment="1">
      <alignment horizontal="left" vertical="center" shrinkToFit="1"/>
    </xf>
    <xf numFmtId="179" fontId="2" fillId="0" borderId="3" xfId="0" applyNumberFormat="1" applyFont="1" applyBorder="1" applyAlignment="1">
      <alignment horizontal="center" vertical="center" shrinkToFit="1"/>
    </xf>
    <xf numFmtId="1" fontId="39" fillId="0" borderId="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179" fontId="2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79" fontId="29" fillId="0" borderId="1" xfId="0" applyNumberFormat="1" applyFont="1" applyBorder="1"/>
    <xf numFmtId="179" fontId="29" fillId="0" borderId="0" xfId="0" applyNumberFormat="1" applyFont="1"/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179" fontId="43" fillId="0" borderId="0" xfId="0" applyNumberFormat="1" applyFont="1" applyBorder="1" applyAlignment="1">
      <alignment horizontal="center" vertical="center" shrinkToFit="1"/>
    </xf>
    <xf numFmtId="179" fontId="4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9" fontId="43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9" fontId="21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179" fontId="22" fillId="0" borderId="2" xfId="0" applyNumberFormat="1" applyFont="1" applyBorder="1" applyAlignment="1">
      <alignment horizontal="center" vertical="center"/>
    </xf>
    <xf numFmtId="185" fontId="39" fillId="0" borderId="1" xfId="0" applyNumberFormat="1" applyFont="1" applyBorder="1" applyAlignment="1">
      <alignment horizontal="center" vertical="center"/>
    </xf>
    <xf numFmtId="9" fontId="39" fillId="0" borderId="1" xfId="750" applyFont="1" applyBorder="1" applyAlignment="1">
      <alignment horizontal="center" vertical="center"/>
    </xf>
    <xf numFmtId="179" fontId="16" fillId="0" borderId="1" xfId="0" applyNumberFormat="1" applyFont="1" applyBorder="1" applyAlignment="1">
      <alignment horizontal="center" vertical="center"/>
    </xf>
    <xf numFmtId="186" fontId="39" fillId="0" borderId="1" xfId="0" applyNumberFormat="1" applyFont="1" applyBorder="1" applyAlignment="1">
      <alignment horizontal="center" vertical="center"/>
    </xf>
    <xf numFmtId="187" fontId="39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 shrinkToFit="1"/>
    </xf>
    <xf numFmtId="0" fontId="43" fillId="0" borderId="1" xfId="0" applyFont="1" applyBorder="1" applyAlignment="1">
      <alignment horizontal="center" vertical="center"/>
    </xf>
    <xf numFmtId="0" fontId="47" fillId="0" borderId="0" xfId="0" applyFont="1"/>
    <xf numFmtId="179" fontId="47" fillId="0" borderId="1" xfId="0" applyNumberFormat="1" applyFont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/>
    </xf>
    <xf numFmtId="1" fontId="44" fillId="0" borderId="1" xfId="0" applyNumberFormat="1" applyFont="1" applyBorder="1" applyAlignment="1">
      <alignment horizontal="center"/>
    </xf>
    <xf numFmtId="187" fontId="44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vertical="center"/>
    </xf>
    <xf numFmtId="9" fontId="44" fillId="0" borderId="1" xfId="750" applyFont="1" applyBorder="1" applyAlignment="1">
      <alignment horizontal="center" vertical="center"/>
    </xf>
    <xf numFmtId="0" fontId="47" fillId="0" borderId="1" xfId="0" applyFont="1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8" fontId="2" fillId="0" borderId="1" xfId="3" applyNumberFormat="1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178" fontId="2" fillId="0" borderId="16" xfId="2" applyNumberFormat="1" applyFont="1" applyFill="1" applyBorder="1" applyAlignment="1">
      <alignment horizontal="center" vertical="center"/>
    </xf>
    <xf numFmtId="49" fontId="2" fillId="0" borderId="16" xfId="3" applyNumberFormat="1" applyFont="1" applyFill="1" applyBorder="1" applyAlignment="1">
      <alignment horizontal="center" vertical="center"/>
    </xf>
    <xf numFmtId="178" fontId="2" fillId="0" borderId="5" xfId="2" applyNumberFormat="1" applyFont="1" applyFill="1" applyBorder="1" applyAlignment="1">
      <alignment horizontal="center" vertical="center"/>
    </xf>
    <xf numFmtId="178" fontId="2" fillId="0" borderId="1" xfId="2" applyNumberFormat="1" applyFont="1" applyFill="1" applyBorder="1" applyAlignment="1">
      <alignment horizontal="center" vertical="center"/>
    </xf>
    <xf numFmtId="178" fontId="2" fillId="0" borderId="5" xfId="2" applyNumberFormat="1" applyFont="1" applyFill="1" applyBorder="1" applyAlignment="1">
      <alignment horizontal="center" vertical="center" wrapText="1"/>
    </xf>
    <xf numFmtId="49" fontId="2" fillId="0" borderId="5" xfId="3" applyNumberFormat="1" applyFont="1" applyFill="1" applyBorder="1" applyAlignment="1">
      <alignment horizontal="center" vertical="center" wrapText="1"/>
    </xf>
    <xf numFmtId="178" fontId="2" fillId="0" borderId="1" xfId="3" applyNumberFormat="1" applyFont="1" applyFill="1" applyBorder="1" applyAlignment="1">
      <alignment horizontal="center" vertical="center" wrapText="1"/>
    </xf>
    <xf numFmtId="178" fontId="2" fillId="0" borderId="1" xfId="2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78" fontId="2" fillId="0" borderId="16" xfId="2" applyNumberFormat="1" applyFont="1" applyFill="1" applyBorder="1" applyAlignment="1">
      <alignment horizontal="center" vertical="center" wrapText="1"/>
    </xf>
    <xf numFmtId="178" fontId="2" fillId="0" borderId="5" xfId="3" applyNumberFormat="1" applyFont="1" applyFill="1" applyBorder="1" applyAlignment="1">
      <alignment horizontal="center" vertical="center" wrapText="1"/>
    </xf>
    <xf numFmtId="0" fontId="35" fillId="0" borderId="0" xfId="1" applyFont="1" applyFill="1" applyAlignment="1">
      <alignment horizontal="center" vertical="center"/>
    </xf>
    <xf numFmtId="178" fontId="36" fillId="0" borderId="2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78" fontId="36" fillId="0" borderId="4" xfId="1" applyNumberFormat="1" applyFont="1" applyFill="1" applyBorder="1" applyAlignment="1">
      <alignment horizontal="center" vertical="center"/>
    </xf>
    <xf numFmtId="178" fontId="2" fillId="0" borderId="2" xfId="1" applyNumberFormat="1" applyFont="1" applyFill="1" applyBorder="1" applyAlignment="1">
      <alignment horizontal="center" vertical="center"/>
    </xf>
    <xf numFmtId="178" fontId="2" fillId="0" borderId="16" xfId="1" applyNumberFormat="1" applyFont="1" applyFill="1" applyBorder="1" applyAlignment="1">
      <alignment horizontal="center" vertical="center"/>
    </xf>
    <xf numFmtId="178" fontId="36" fillId="0" borderId="17" xfId="1" applyNumberFormat="1" applyFont="1" applyFill="1" applyBorder="1" applyAlignment="1">
      <alignment horizontal="center" vertical="center" wrapText="1"/>
    </xf>
    <xf numFmtId="178" fontId="2" fillId="0" borderId="17" xfId="2" applyNumberFormat="1" applyFont="1" applyFill="1" applyBorder="1" applyAlignment="1">
      <alignment horizontal="center" vertical="center" wrapText="1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center" vertical="center"/>
    </xf>
    <xf numFmtId="178" fontId="36" fillId="0" borderId="1" xfId="1" applyNumberFormat="1" applyFont="1" applyFill="1" applyBorder="1" applyAlignment="1">
      <alignment horizontal="center" vertical="center" wrapText="1"/>
    </xf>
    <xf numFmtId="178" fontId="2" fillId="0" borderId="5" xfId="1" applyNumberFormat="1" applyFont="1" applyFill="1" applyBorder="1" applyAlignment="1">
      <alignment horizontal="center" vertical="center"/>
    </xf>
    <xf numFmtId="0" fontId="35" fillId="0" borderId="0" xfId="1" applyFont="1" applyFill="1" applyAlignment="1">
      <alignment horizontal="center" vertical="center" wrapText="1"/>
    </xf>
    <xf numFmtId="178" fontId="36" fillId="0" borderId="16" xfId="1" applyNumberFormat="1" applyFont="1" applyFill="1" applyBorder="1" applyAlignment="1">
      <alignment horizontal="center" vertical="center" wrapText="1"/>
    </xf>
    <xf numFmtId="178" fontId="36" fillId="0" borderId="5" xfId="1" applyNumberFormat="1" applyFont="1" applyFill="1" applyBorder="1" applyAlignment="1">
      <alignment horizontal="center" vertical="center" wrapText="1"/>
    </xf>
    <xf numFmtId="49" fontId="2" fillId="0" borderId="5" xfId="3" applyNumberFormat="1" applyFont="1" applyFill="1" applyBorder="1" applyAlignment="1">
      <alignment horizontal="center" vertical="center"/>
    </xf>
    <xf numFmtId="178" fontId="2" fillId="0" borderId="4" xfId="1" applyNumberFormat="1" applyFont="1" applyFill="1" applyBorder="1" applyAlignment="1">
      <alignment horizontal="center" vertical="center"/>
    </xf>
    <xf numFmtId="178" fontId="2" fillId="0" borderId="1" xfId="4" applyNumberFormat="1" applyFont="1" applyFill="1" applyBorder="1" applyAlignment="1">
      <alignment horizontal="center" vertical="center" wrapText="1"/>
    </xf>
    <xf numFmtId="178" fontId="2" fillId="0" borderId="1" xfId="4" applyNumberFormat="1" applyFont="1" applyFill="1" applyBorder="1" applyAlignment="1">
      <alignment horizontal="center" vertical="center"/>
    </xf>
    <xf numFmtId="178" fontId="36" fillId="0" borderId="2" xfId="1" applyNumberFormat="1" applyFont="1" applyFill="1" applyBorder="1" applyAlignment="1">
      <alignment horizontal="center" vertical="center" wrapText="1"/>
    </xf>
    <xf numFmtId="178" fontId="2" fillId="0" borderId="5" xfId="1" applyNumberFormat="1" applyFont="1" applyFill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horizontal="center" vertical="center" wrapText="1"/>
    </xf>
    <xf numFmtId="178" fontId="2" fillId="0" borderId="2" xfId="1" applyNumberFormat="1" applyFont="1" applyFill="1" applyBorder="1" applyAlignment="1">
      <alignment horizontal="center" vertical="center" wrapText="1"/>
    </xf>
    <xf numFmtId="178" fontId="2" fillId="0" borderId="17" xfId="5" applyNumberFormat="1" applyFont="1" applyFill="1" applyBorder="1" applyAlignment="1">
      <alignment horizontal="center" vertical="center" wrapText="1"/>
    </xf>
    <xf numFmtId="178" fontId="2" fillId="0" borderId="17" xfId="5" applyNumberFormat="1" applyFont="1" applyFill="1" applyBorder="1" applyAlignment="1">
      <alignment horizontal="center" vertical="center"/>
    </xf>
    <xf numFmtId="178" fontId="2" fillId="0" borderId="17" xfId="1" applyNumberFormat="1" applyFont="1" applyFill="1" applyBorder="1" applyAlignment="1">
      <alignment horizontal="center" vertical="center" wrapText="1"/>
    </xf>
    <xf numFmtId="178" fontId="2" fillId="0" borderId="5" xfId="5" applyNumberFormat="1" applyFont="1" applyFill="1" applyBorder="1" applyAlignment="1">
      <alignment horizontal="center" vertical="center" wrapText="1"/>
    </xf>
    <xf numFmtId="178" fontId="2" fillId="0" borderId="16" xfId="5" applyNumberFormat="1" applyFont="1" applyFill="1" applyBorder="1" applyAlignment="1">
      <alignment horizontal="center" vertical="center" wrapText="1"/>
    </xf>
    <xf numFmtId="178" fontId="2" fillId="0" borderId="16" xfId="1" applyNumberFormat="1" applyFont="1" applyFill="1" applyBorder="1" applyAlignment="1">
      <alignment horizontal="center" vertical="center" wrapText="1"/>
    </xf>
    <xf numFmtId="178" fontId="2" fillId="0" borderId="1" xfId="6" applyNumberFormat="1" applyFont="1" applyFill="1" applyBorder="1" applyAlignment="1">
      <alignment horizontal="center" vertical="center" wrapText="1"/>
    </xf>
    <xf numFmtId="178" fontId="2" fillId="0" borderId="1" xfId="7" applyNumberFormat="1" applyFont="1" applyFill="1" applyBorder="1" applyAlignment="1">
      <alignment horizontal="center" vertical="center" wrapText="1"/>
    </xf>
    <xf numFmtId="178" fontId="2" fillId="0" borderId="1" xfId="7" applyNumberFormat="1" applyFont="1" applyFill="1" applyBorder="1" applyAlignment="1">
      <alignment horizontal="center" vertical="center"/>
    </xf>
    <xf numFmtId="178" fontId="2" fillId="0" borderId="5" xfId="7" applyNumberFormat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49" fontId="0" fillId="0" borderId="17" xfId="2" applyNumberFormat="1" applyFont="1" applyFill="1" applyBorder="1" applyAlignment="1">
      <alignment horizontal="center" vertical="center" wrapText="1"/>
    </xf>
    <xf numFmtId="178" fontId="0" fillId="0" borderId="17" xfId="3" applyNumberFormat="1" applyFont="1" applyFill="1" applyBorder="1" applyAlignment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/>
    </xf>
    <xf numFmtId="49" fontId="0" fillId="0" borderId="2" xfId="2" applyNumberFormat="1" applyFont="1" applyFill="1" applyBorder="1" applyAlignment="1">
      <alignment horizontal="center" vertical="center" wrapText="1"/>
    </xf>
    <xf numFmtId="178" fontId="0" fillId="0" borderId="17" xfId="5" applyNumberFormat="1" applyFont="1" applyFill="1" applyBorder="1" applyAlignment="1">
      <alignment horizontal="center" vertical="center" wrapText="1"/>
    </xf>
    <xf numFmtId="49" fontId="0" fillId="0" borderId="1" xfId="3" applyNumberFormat="1" applyFont="1" applyFill="1" applyBorder="1" applyAlignment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/>
    </xf>
    <xf numFmtId="178" fontId="0" fillId="0" borderId="1" xfId="4" applyNumberFormat="1" applyFont="1" applyFill="1" applyBorder="1" applyAlignment="1">
      <alignment horizontal="center" vertical="center" wrapText="1"/>
    </xf>
    <xf numFmtId="49" fontId="0" fillId="0" borderId="16" xfId="3" applyNumberFormat="1" applyFont="1" applyFill="1" applyBorder="1" applyAlignment="1">
      <alignment horizontal="center" vertical="center"/>
    </xf>
    <xf numFmtId="49" fontId="0" fillId="0" borderId="17" xfId="3" applyNumberFormat="1" applyFont="1" applyFill="1" applyBorder="1" applyAlignment="1">
      <alignment horizontal="center" vertical="center" wrapText="1"/>
    </xf>
    <xf numFmtId="0" fontId="32" fillId="0" borderId="0" xfId="0" applyFont="1"/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vertical="top" wrapText="1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13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 wrapText="1"/>
    </xf>
    <xf numFmtId="178" fontId="0" fillId="0" borderId="8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/>
    </xf>
    <xf numFmtId="0" fontId="36" fillId="0" borderId="14" xfId="1" applyFont="1" applyFill="1" applyBorder="1" applyAlignment="1">
      <alignment horizontal="center" vertical="center"/>
    </xf>
    <xf numFmtId="178" fontId="2" fillId="0" borderId="11" xfId="1" applyNumberFormat="1" applyFont="1" applyFill="1" applyBorder="1" applyAlignment="1">
      <alignment horizontal="center" vertical="center" wrapText="1"/>
    </xf>
    <xf numFmtId="178" fontId="2" fillId="0" borderId="12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32" fillId="0" borderId="12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 wrapText="1"/>
    </xf>
    <xf numFmtId="178" fontId="2" fillId="0" borderId="15" xfId="1" applyNumberFormat="1" applyFont="1" applyFill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horizontal="center" vertical="center"/>
    </xf>
    <xf numFmtId="178" fontId="2" fillId="0" borderId="2" xfId="1" applyNumberFormat="1" applyFont="1" applyFill="1" applyBorder="1" applyAlignment="1">
      <alignment horizontal="center" vertical="center"/>
    </xf>
    <xf numFmtId="0" fontId="30" fillId="0" borderId="8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0" fillId="0" borderId="8" xfId="0" applyNumberFormat="1" applyFont="1" applyBorder="1" applyAlignment="1">
      <alignment horizontal="center"/>
    </xf>
    <xf numFmtId="0" fontId="40" fillId="0" borderId="7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0" fillId="0" borderId="1" xfId="0" applyFont="1" applyBorder="1" applyAlignment="1" applyProtection="1">
      <alignment horizontal="center" vertical="center"/>
      <protection locked="0"/>
    </xf>
    <xf numFmtId="0" fontId="40" fillId="0" borderId="11" xfId="3" applyNumberFormat="1" applyFont="1" applyBorder="1" applyAlignment="1">
      <alignment horizontal="center"/>
    </xf>
    <xf numFmtId="0" fontId="40" fillId="0" borderId="9" xfId="3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0" fillId="0" borderId="8" xfId="0" applyNumberFormat="1" applyFont="1" applyBorder="1" applyAlignment="1">
      <alignment horizontal="center" vertical="center"/>
    </xf>
    <xf numFmtId="0" fontId="4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40" fillId="0" borderId="1" xfId="3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21" fillId="0" borderId="2" xfId="0" applyNumberFormat="1" applyFont="1" applyBorder="1" applyAlignment="1">
      <alignment horizontal="center" vertical="center"/>
    </xf>
    <xf numFmtId="179" fontId="21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/>
    <xf numFmtId="0" fontId="7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39" fillId="0" borderId="1" xfId="3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176" fontId="29" fillId="0" borderId="2" xfId="0" applyNumberFormat="1" applyFont="1" applyBorder="1" applyAlignment="1">
      <alignment horizontal="center" vertical="center"/>
    </xf>
    <xf numFmtId="176" fontId="29" fillId="0" borderId="4" xfId="0" applyNumberFormat="1" applyFont="1" applyBorder="1" applyAlignment="1">
      <alignment horizontal="center" vertical="center"/>
    </xf>
    <xf numFmtId="176" fontId="29" fillId="0" borderId="5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Font="1" applyFill="1" applyBorder="1" applyAlignment="1">
      <alignment horizontal="center" vertical="center" wrapText="1"/>
    </xf>
    <xf numFmtId="179" fontId="15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7" fillId="0" borderId="2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shrinkToFit="1"/>
    </xf>
    <xf numFmtId="0" fontId="7" fillId="0" borderId="4" xfId="0" applyNumberFormat="1" applyFont="1" applyBorder="1" applyAlignment="1">
      <alignment horizontal="center" vertical="center" shrinkToFit="1"/>
    </xf>
    <xf numFmtId="0" fontId="7" fillId="0" borderId="5" xfId="0" applyNumberFormat="1" applyFont="1" applyBorder="1" applyAlignment="1">
      <alignment horizontal="center" vertical="center" shrinkToFit="1"/>
    </xf>
    <xf numFmtId="0" fontId="47" fillId="0" borderId="2" xfId="0" applyFont="1" applyBorder="1" applyAlignment="1">
      <alignment horizontal="center" vertical="center" shrinkToFit="1"/>
    </xf>
    <xf numFmtId="0" fontId="47" fillId="0" borderId="4" xfId="0" applyFont="1" applyBorder="1" applyAlignment="1">
      <alignment horizontal="center" vertical="center" shrinkToFit="1"/>
    </xf>
    <xf numFmtId="0" fontId="47" fillId="0" borderId="5" xfId="0" applyFont="1" applyBorder="1" applyAlignment="1">
      <alignment horizontal="center" vertical="center" shrinkToFit="1"/>
    </xf>
    <xf numFmtId="0" fontId="39" fillId="0" borderId="5" xfId="3" applyNumberFormat="1" applyFont="1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8" fillId="0" borderId="0" xfId="1" applyFont="1" applyFill="1" applyAlignment="1">
      <alignment horizontal="left" vertical="center"/>
    </xf>
  </cellXfs>
  <cellStyles count="751">
    <cellStyle name="一般" xfId="0" builtinId="0"/>
    <cellStyle name="一般 10" xfId="3"/>
    <cellStyle name="一般 10 10" xfId="8"/>
    <cellStyle name="一般 10 11" xfId="9"/>
    <cellStyle name="一般 10 12" xfId="10"/>
    <cellStyle name="一般 10 13" xfId="11"/>
    <cellStyle name="一般 10 14" xfId="12"/>
    <cellStyle name="一般 10 15" xfId="13"/>
    <cellStyle name="一般 10 16" xfId="14"/>
    <cellStyle name="一般 10 17" xfId="15"/>
    <cellStyle name="一般 10 18" xfId="16"/>
    <cellStyle name="一般 10 19" xfId="17"/>
    <cellStyle name="一般 10 2" xfId="18"/>
    <cellStyle name="一般 10 20" xfId="19"/>
    <cellStyle name="一般 10 21" xfId="20"/>
    <cellStyle name="一般 10 3" xfId="21"/>
    <cellStyle name="一般 10 4" xfId="22"/>
    <cellStyle name="一般 10 5" xfId="23"/>
    <cellStyle name="一般 10 6" xfId="24"/>
    <cellStyle name="一般 10 7" xfId="25"/>
    <cellStyle name="一般 10 8" xfId="26"/>
    <cellStyle name="一般 10 9" xfId="27"/>
    <cellStyle name="一般 15" xfId="28"/>
    <cellStyle name="一般 19" xfId="2"/>
    <cellStyle name="一般 19 10" xfId="29"/>
    <cellStyle name="一般 19 11" xfId="30"/>
    <cellStyle name="一般 19 12" xfId="31"/>
    <cellStyle name="一般 19 13" xfId="32"/>
    <cellStyle name="一般 19 14" xfId="33"/>
    <cellStyle name="一般 19 15" xfId="34"/>
    <cellStyle name="一般 19 16" xfId="35"/>
    <cellStyle name="一般 19 17" xfId="36"/>
    <cellStyle name="一般 19 18" xfId="37"/>
    <cellStyle name="一般 19 19" xfId="38"/>
    <cellStyle name="一般 19 2" xfId="39"/>
    <cellStyle name="一般 19 20" xfId="40"/>
    <cellStyle name="一般 19 21" xfId="41"/>
    <cellStyle name="一般 19 3" xfId="42"/>
    <cellStyle name="一般 19 4" xfId="43"/>
    <cellStyle name="一般 19 5" xfId="44"/>
    <cellStyle name="一般 19 6" xfId="45"/>
    <cellStyle name="一般 19 7" xfId="46"/>
    <cellStyle name="一般 19 8" xfId="47"/>
    <cellStyle name="一般 19 9" xfId="48"/>
    <cellStyle name="一般 2" xfId="1"/>
    <cellStyle name="一般 2 10" xfId="49"/>
    <cellStyle name="一般 2 11" xfId="50"/>
    <cellStyle name="一般 2 12" xfId="51"/>
    <cellStyle name="一般 2 13" xfId="52"/>
    <cellStyle name="一般 2 14" xfId="53"/>
    <cellStyle name="一般 2 15" xfId="54"/>
    <cellStyle name="一般 2 16" xfId="55"/>
    <cellStyle name="一般 2 17" xfId="56"/>
    <cellStyle name="一般 2 18" xfId="57"/>
    <cellStyle name="一般 2 19" xfId="58"/>
    <cellStyle name="一般 2 2" xfId="59"/>
    <cellStyle name="一般 2 2 10" xfId="60"/>
    <cellStyle name="一般 2 2 11" xfId="61"/>
    <cellStyle name="一般 2 2 12" xfId="62"/>
    <cellStyle name="一般 2 2 13" xfId="63"/>
    <cellStyle name="一般 2 2 14" xfId="64"/>
    <cellStyle name="一般 2 2 15" xfId="65"/>
    <cellStyle name="一般 2 2 16" xfId="66"/>
    <cellStyle name="一般 2 2 17" xfId="67"/>
    <cellStyle name="一般 2 2 18" xfId="68"/>
    <cellStyle name="一般 2 2 19" xfId="69"/>
    <cellStyle name="一般 2 2 2" xfId="70"/>
    <cellStyle name="一般 2 2 2 10" xfId="71"/>
    <cellStyle name="一般 2 2 2 11" xfId="72"/>
    <cellStyle name="一般 2 2 2 12" xfId="73"/>
    <cellStyle name="一般 2 2 2 13" xfId="74"/>
    <cellStyle name="一般 2 2 2 14" xfId="75"/>
    <cellStyle name="一般 2 2 2 15" xfId="76"/>
    <cellStyle name="一般 2 2 2 16" xfId="77"/>
    <cellStyle name="一般 2 2 2 17" xfId="78"/>
    <cellStyle name="一般 2 2 2 18" xfId="79"/>
    <cellStyle name="一般 2 2 2 19" xfId="80"/>
    <cellStyle name="一般 2 2 2 2" xfId="81"/>
    <cellStyle name="一般 2 2 2 2 10" xfId="82"/>
    <cellStyle name="一般 2 2 2 2 11" xfId="83"/>
    <cellStyle name="一般 2 2 2 2 12" xfId="84"/>
    <cellStyle name="一般 2 2 2 2 13" xfId="85"/>
    <cellStyle name="一般 2 2 2 2 14" xfId="86"/>
    <cellStyle name="一般 2 2 2 2 15" xfId="87"/>
    <cellStyle name="一般 2 2 2 2 16" xfId="88"/>
    <cellStyle name="一般 2 2 2 2 17" xfId="89"/>
    <cellStyle name="一般 2 2 2 2 18" xfId="90"/>
    <cellStyle name="一般 2 2 2 2 19" xfId="91"/>
    <cellStyle name="一般 2 2 2 2 2" xfId="92"/>
    <cellStyle name="一般 2 2 2 2 2 10" xfId="93"/>
    <cellStyle name="一般 2 2 2 2 2 11" xfId="94"/>
    <cellStyle name="一般 2 2 2 2 2 12" xfId="95"/>
    <cellStyle name="一般 2 2 2 2 2 13" xfId="96"/>
    <cellStyle name="一般 2 2 2 2 2 14" xfId="97"/>
    <cellStyle name="一般 2 2 2 2 2 15" xfId="98"/>
    <cellStyle name="一般 2 2 2 2 2 16" xfId="99"/>
    <cellStyle name="一般 2 2 2 2 2 17" xfId="100"/>
    <cellStyle name="一般 2 2 2 2 2 18" xfId="101"/>
    <cellStyle name="一般 2 2 2 2 2 19" xfId="102"/>
    <cellStyle name="一般 2 2 2 2 2 2" xfId="103"/>
    <cellStyle name="一般 2 2 2 2 2 2 10" xfId="104"/>
    <cellStyle name="一般 2 2 2 2 2 2 11" xfId="105"/>
    <cellStyle name="一般 2 2 2 2 2 2 12" xfId="106"/>
    <cellStyle name="一般 2 2 2 2 2 2 13" xfId="107"/>
    <cellStyle name="一般 2 2 2 2 2 2 14" xfId="108"/>
    <cellStyle name="一般 2 2 2 2 2 2 2" xfId="109"/>
    <cellStyle name="一般 2 2 2 2 2 2 3" xfId="110"/>
    <cellStyle name="一般 2 2 2 2 2 2 4" xfId="111"/>
    <cellStyle name="一般 2 2 2 2 2 2 5" xfId="112"/>
    <cellStyle name="一般 2 2 2 2 2 2 6" xfId="113"/>
    <cellStyle name="一般 2 2 2 2 2 2 7" xfId="114"/>
    <cellStyle name="一般 2 2 2 2 2 2 8" xfId="115"/>
    <cellStyle name="一般 2 2 2 2 2 2 9" xfId="116"/>
    <cellStyle name="一般 2 2 2 2 2 20" xfId="117"/>
    <cellStyle name="一般 2 2 2 2 2 21" xfId="118"/>
    <cellStyle name="一般 2 2 2 2 2 22" xfId="119"/>
    <cellStyle name="一般 2 2 2 2 2 23" xfId="120"/>
    <cellStyle name="一般 2 2 2 2 2 24" xfId="121"/>
    <cellStyle name="一般 2 2 2 2 2 25" xfId="122"/>
    <cellStyle name="一般 2 2 2 2 2 26" xfId="123"/>
    <cellStyle name="一般 2 2 2 2 2 27" xfId="124"/>
    <cellStyle name="一般 2 2 2 2 2 28" xfId="125"/>
    <cellStyle name="一般 2 2 2 2 2 29" xfId="126"/>
    <cellStyle name="一般 2 2 2 2 2 3" xfId="127"/>
    <cellStyle name="一般 2 2 2 2 2 30" xfId="128"/>
    <cellStyle name="一般 2 2 2 2 2 31" xfId="129"/>
    <cellStyle name="一般 2 2 2 2 2 32" xfId="130"/>
    <cellStyle name="一般 2 2 2 2 2 33" xfId="131"/>
    <cellStyle name="一般 2 2 2 2 2 4" xfId="132"/>
    <cellStyle name="一般 2 2 2 2 2 5" xfId="133"/>
    <cellStyle name="一般 2 2 2 2 2 6" xfId="134"/>
    <cellStyle name="一般 2 2 2 2 2 7" xfId="135"/>
    <cellStyle name="一般 2 2 2 2 2 8" xfId="136"/>
    <cellStyle name="一般 2 2 2 2 2 9" xfId="137"/>
    <cellStyle name="一般 2 2 2 2 20" xfId="138"/>
    <cellStyle name="一般 2 2 2 2 21" xfId="139"/>
    <cellStyle name="一般 2 2 2 2 22" xfId="140"/>
    <cellStyle name="一般 2 2 2 2 23" xfId="141"/>
    <cellStyle name="一般 2 2 2 2 24" xfId="142"/>
    <cellStyle name="一般 2 2 2 2 25" xfId="143"/>
    <cellStyle name="一般 2 2 2 2 26" xfId="144"/>
    <cellStyle name="一般 2 2 2 2 27" xfId="145"/>
    <cellStyle name="一般 2 2 2 2 28" xfId="146"/>
    <cellStyle name="一般 2 2 2 2 29" xfId="147"/>
    <cellStyle name="一般 2 2 2 2 3" xfId="148"/>
    <cellStyle name="一般 2 2 2 2 30" xfId="149"/>
    <cellStyle name="一般 2 2 2 2 31" xfId="150"/>
    <cellStyle name="一般 2 2 2 2 32" xfId="151"/>
    <cellStyle name="一般 2 2 2 2 33" xfId="152"/>
    <cellStyle name="一般 2 2 2 2 33 10" xfId="153"/>
    <cellStyle name="一般 2 2 2 2 33 11" xfId="154"/>
    <cellStyle name="一般 2 2 2 2 33 12" xfId="155"/>
    <cellStyle name="一般 2 2 2 2 33 13" xfId="156"/>
    <cellStyle name="一般 2 2 2 2 33 14" xfId="157"/>
    <cellStyle name="一般 2 2 2 2 33 2" xfId="158"/>
    <cellStyle name="一般 2 2 2 2 33 3" xfId="159"/>
    <cellStyle name="一般 2 2 2 2 33 4" xfId="160"/>
    <cellStyle name="一般 2 2 2 2 33 5" xfId="161"/>
    <cellStyle name="一般 2 2 2 2 33 6" xfId="162"/>
    <cellStyle name="一般 2 2 2 2 33 7" xfId="163"/>
    <cellStyle name="一般 2 2 2 2 33 8" xfId="164"/>
    <cellStyle name="一般 2 2 2 2 33 9" xfId="165"/>
    <cellStyle name="一般 2 2 2 2 34" xfId="166"/>
    <cellStyle name="一般 2 2 2 2 35" xfId="167"/>
    <cellStyle name="一般 2 2 2 2 36" xfId="168"/>
    <cellStyle name="一般 2 2 2 2 37" xfId="169"/>
    <cellStyle name="一般 2 2 2 2 38" xfId="170"/>
    <cellStyle name="一般 2 2 2 2 39" xfId="171"/>
    <cellStyle name="一般 2 2 2 2 4" xfId="172"/>
    <cellStyle name="一般 2 2 2 2 40" xfId="173"/>
    <cellStyle name="一般 2 2 2 2 41" xfId="174"/>
    <cellStyle name="一般 2 2 2 2 42" xfId="175"/>
    <cellStyle name="一般 2 2 2 2 43" xfId="176"/>
    <cellStyle name="一般 2 2 2 2 44" xfId="177"/>
    <cellStyle name="一般 2 2 2 2 45" xfId="178"/>
    <cellStyle name="一般 2 2 2 2 46" xfId="179"/>
    <cellStyle name="一般 2 2 2 2 47" xfId="180"/>
    <cellStyle name="一般 2 2 2 2 48" xfId="181"/>
    <cellStyle name="一般 2 2 2 2 49" xfId="182"/>
    <cellStyle name="一般 2 2 2 2 5" xfId="183"/>
    <cellStyle name="一般 2 2 2 2 50" xfId="184"/>
    <cellStyle name="一般 2 2 2 2 51" xfId="185"/>
    <cellStyle name="一般 2 2 2 2 52" xfId="186"/>
    <cellStyle name="一般 2 2 2 2 53" xfId="187"/>
    <cellStyle name="一般 2 2 2 2 54" xfId="188"/>
    <cellStyle name="一般 2 2 2 2 55" xfId="189"/>
    <cellStyle name="一般 2 2 2 2 56" xfId="190"/>
    <cellStyle name="一般 2 2 2 2 57" xfId="191"/>
    <cellStyle name="一般 2 2 2 2 58" xfId="192"/>
    <cellStyle name="一般 2 2 2 2 59" xfId="193"/>
    <cellStyle name="一般 2 2 2 2 6" xfId="194"/>
    <cellStyle name="一般 2 2 2 2 60" xfId="195"/>
    <cellStyle name="一般 2 2 2 2 61" xfId="196"/>
    <cellStyle name="一般 2 2 2 2 62" xfId="197"/>
    <cellStyle name="一般 2 2 2 2 63" xfId="198"/>
    <cellStyle name="一般 2 2 2 2 7" xfId="199"/>
    <cellStyle name="一般 2 2 2 2 8" xfId="200"/>
    <cellStyle name="一般 2 2 2 2 9" xfId="201"/>
    <cellStyle name="一般 2 2 2 20" xfId="202"/>
    <cellStyle name="一般 2 2 2 21" xfId="203"/>
    <cellStyle name="一般 2 2 2 22" xfId="204"/>
    <cellStyle name="一般 2 2 2 23" xfId="205"/>
    <cellStyle name="一般 2 2 2 24" xfId="206"/>
    <cellStyle name="一般 2 2 2 25" xfId="207"/>
    <cellStyle name="一般 2 2 2 26" xfId="208"/>
    <cellStyle name="一般 2 2 2 27" xfId="209"/>
    <cellStyle name="一般 2 2 2 28" xfId="210"/>
    <cellStyle name="一般 2 2 2 29" xfId="211"/>
    <cellStyle name="一般 2 2 2 3" xfId="212"/>
    <cellStyle name="一般 2 2 2 3 10" xfId="213"/>
    <cellStyle name="一般 2 2 2 3 11" xfId="214"/>
    <cellStyle name="一般 2 2 2 3 12" xfId="215"/>
    <cellStyle name="一般 2 2 2 3 13" xfId="216"/>
    <cellStyle name="一般 2 2 2 3 14" xfId="217"/>
    <cellStyle name="一般 2 2 2 3 15" xfId="218"/>
    <cellStyle name="一般 2 2 2 3 16" xfId="219"/>
    <cellStyle name="一般 2 2 2 3 17" xfId="220"/>
    <cellStyle name="一般 2 2 2 3 18" xfId="221"/>
    <cellStyle name="一般 2 2 2 3 19" xfId="222"/>
    <cellStyle name="一般 2 2 2 3 2" xfId="223"/>
    <cellStyle name="一般 2 2 2 3 2 10" xfId="224"/>
    <cellStyle name="一般 2 2 2 3 2 11" xfId="225"/>
    <cellStyle name="一般 2 2 2 3 2 12" xfId="226"/>
    <cellStyle name="一般 2 2 2 3 2 13" xfId="227"/>
    <cellStyle name="一般 2 2 2 3 2 14" xfId="228"/>
    <cellStyle name="一般 2 2 2 3 2 2" xfId="229"/>
    <cellStyle name="一般 2 2 2 3 2 3" xfId="230"/>
    <cellStyle name="一般 2 2 2 3 2 4" xfId="231"/>
    <cellStyle name="一般 2 2 2 3 2 5" xfId="232"/>
    <cellStyle name="一般 2 2 2 3 2 6" xfId="233"/>
    <cellStyle name="一般 2 2 2 3 2 7" xfId="234"/>
    <cellStyle name="一般 2 2 2 3 2 8" xfId="235"/>
    <cellStyle name="一般 2 2 2 3 2 9" xfId="236"/>
    <cellStyle name="一般 2 2 2 3 20" xfId="237"/>
    <cellStyle name="一般 2 2 2 3 21" xfId="238"/>
    <cellStyle name="一般 2 2 2 3 22" xfId="239"/>
    <cellStyle name="一般 2 2 2 3 23" xfId="240"/>
    <cellStyle name="一般 2 2 2 3 24" xfId="241"/>
    <cellStyle name="一般 2 2 2 3 25" xfId="242"/>
    <cellStyle name="一般 2 2 2 3 26" xfId="243"/>
    <cellStyle name="一般 2 2 2 3 27" xfId="244"/>
    <cellStyle name="一般 2 2 2 3 28" xfId="245"/>
    <cellStyle name="一般 2 2 2 3 29" xfId="246"/>
    <cellStyle name="一般 2 2 2 3 3" xfId="247"/>
    <cellStyle name="一般 2 2 2 3 30" xfId="248"/>
    <cellStyle name="一般 2 2 2 3 31" xfId="249"/>
    <cellStyle name="一般 2 2 2 3 32" xfId="250"/>
    <cellStyle name="一般 2 2 2 3 33" xfId="251"/>
    <cellStyle name="一般 2 2 2 3 4" xfId="252"/>
    <cellStyle name="一般 2 2 2 3 5" xfId="253"/>
    <cellStyle name="一般 2 2 2 3 6" xfId="254"/>
    <cellStyle name="一般 2 2 2 3 7" xfId="255"/>
    <cellStyle name="一般 2 2 2 3 8" xfId="256"/>
    <cellStyle name="一般 2 2 2 3 9" xfId="257"/>
    <cellStyle name="一般 2 2 2 30" xfId="258"/>
    <cellStyle name="一般 2 2 2 31" xfId="259"/>
    <cellStyle name="一般 2 2 2 32" xfId="260"/>
    <cellStyle name="一般 2 2 2 33" xfId="261"/>
    <cellStyle name="一般 2 2 2 33 10" xfId="262"/>
    <cellStyle name="一般 2 2 2 33 11" xfId="263"/>
    <cellStyle name="一般 2 2 2 33 12" xfId="264"/>
    <cellStyle name="一般 2 2 2 33 13" xfId="265"/>
    <cellStyle name="一般 2 2 2 33 14" xfId="266"/>
    <cellStyle name="一般 2 2 2 33 2" xfId="267"/>
    <cellStyle name="一般 2 2 2 33 3" xfId="268"/>
    <cellStyle name="一般 2 2 2 33 4" xfId="269"/>
    <cellStyle name="一般 2 2 2 33 5" xfId="270"/>
    <cellStyle name="一般 2 2 2 33 6" xfId="271"/>
    <cellStyle name="一般 2 2 2 33 7" xfId="272"/>
    <cellStyle name="一般 2 2 2 33 8" xfId="273"/>
    <cellStyle name="一般 2 2 2 33 9" xfId="274"/>
    <cellStyle name="一般 2 2 2 34" xfId="275"/>
    <cellStyle name="一般 2 2 2 35" xfId="276"/>
    <cellStyle name="一般 2 2 2 36" xfId="277"/>
    <cellStyle name="一般 2 2 2 37" xfId="278"/>
    <cellStyle name="一般 2 2 2 38" xfId="279"/>
    <cellStyle name="一般 2 2 2 39" xfId="280"/>
    <cellStyle name="一般 2 2 2 4" xfId="281"/>
    <cellStyle name="一般 2 2 2 40" xfId="282"/>
    <cellStyle name="一般 2 2 2 41" xfId="283"/>
    <cellStyle name="一般 2 2 2 42" xfId="284"/>
    <cellStyle name="一般 2 2 2 43" xfId="285"/>
    <cellStyle name="一般 2 2 2 44" xfId="286"/>
    <cellStyle name="一般 2 2 2 45" xfId="287"/>
    <cellStyle name="一般 2 2 2 46" xfId="288"/>
    <cellStyle name="一般 2 2 2 47" xfId="289"/>
    <cellStyle name="一般 2 2 2 48" xfId="290"/>
    <cellStyle name="一般 2 2 2 49" xfId="291"/>
    <cellStyle name="一般 2 2 2 5" xfId="292"/>
    <cellStyle name="一般 2 2 2 50" xfId="293"/>
    <cellStyle name="一般 2 2 2 51" xfId="294"/>
    <cellStyle name="一般 2 2 2 52" xfId="295"/>
    <cellStyle name="一般 2 2 2 53" xfId="296"/>
    <cellStyle name="一般 2 2 2 54" xfId="297"/>
    <cellStyle name="一般 2 2 2 55" xfId="298"/>
    <cellStyle name="一般 2 2 2 56" xfId="299"/>
    <cellStyle name="一般 2 2 2 57" xfId="300"/>
    <cellStyle name="一般 2 2 2 58" xfId="301"/>
    <cellStyle name="一般 2 2 2 59" xfId="302"/>
    <cellStyle name="一般 2 2 2 6" xfId="303"/>
    <cellStyle name="一般 2 2 2 60" xfId="304"/>
    <cellStyle name="一般 2 2 2 61" xfId="305"/>
    <cellStyle name="一般 2 2 2 62" xfId="306"/>
    <cellStyle name="一般 2 2 2 63" xfId="307"/>
    <cellStyle name="一般 2 2 2 7" xfId="308"/>
    <cellStyle name="一般 2 2 2 8" xfId="309"/>
    <cellStyle name="一般 2 2 2 9" xfId="310"/>
    <cellStyle name="一般 2 2 20" xfId="311"/>
    <cellStyle name="一般 2 2 21" xfId="312"/>
    <cellStyle name="一般 2 2 22" xfId="313"/>
    <cellStyle name="一般 2 2 23" xfId="314"/>
    <cellStyle name="一般 2 2 24" xfId="315"/>
    <cellStyle name="一般 2 2 25" xfId="316"/>
    <cellStyle name="一般 2 2 26" xfId="317"/>
    <cellStyle name="一般 2 2 27" xfId="318"/>
    <cellStyle name="一般 2 2 28" xfId="319"/>
    <cellStyle name="一般 2 2 29" xfId="320"/>
    <cellStyle name="一般 2 2 3" xfId="321"/>
    <cellStyle name="一般 2 2 30" xfId="322"/>
    <cellStyle name="一般 2 2 31" xfId="323"/>
    <cellStyle name="一般 2 2 32" xfId="324"/>
    <cellStyle name="一般 2 2 33" xfId="325"/>
    <cellStyle name="一般 2 2 34" xfId="326"/>
    <cellStyle name="一般 2 2 34 10" xfId="327"/>
    <cellStyle name="一般 2 2 34 11" xfId="328"/>
    <cellStyle name="一般 2 2 34 12" xfId="329"/>
    <cellStyle name="一般 2 2 34 13" xfId="330"/>
    <cellStyle name="一般 2 2 34 14" xfId="331"/>
    <cellStyle name="一般 2 2 34 2" xfId="332"/>
    <cellStyle name="一般 2 2 34 3" xfId="333"/>
    <cellStyle name="一般 2 2 34 4" xfId="334"/>
    <cellStyle name="一般 2 2 34 5" xfId="335"/>
    <cellStyle name="一般 2 2 34 6" xfId="336"/>
    <cellStyle name="一般 2 2 34 7" xfId="337"/>
    <cellStyle name="一般 2 2 34 8" xfId="338"/>
    <cellStyle name="一般 2 2 34 9" xfId="339"/>
    <cellStyle name="一般 2 2 35" xfId="340"/>
    <cellStyle name="一般 2 2 36" xfId="341"/>
    <cellStyle name="一般 2 2 37" xfId="342"/>
    <cellStyle name="一般 2 2 38" xfId="343"/>
    <cellStyle name="一般 2 2 39" xfId="344"/>
    <cellStyle name="一般 2 2 4" xfId="345"/>
    <cellStyle name="一般 2 2 4 10" xfId="346"/>
    <cellStyle name="一般 2 2 4 11" xfId="347"/>
    <cellStyle name="一般 2 2 4 12" xfId="348"/>
    <cellStyle name="一般 2 2 4 13" xfId="349"/>
    <cellStyle name="一般 2 2 4 14" xfId="350"/>
    <cellStyle name="一般 2 2 4 15" xfId="351"/>
    <cellStyle name="一般 2 2 4 16" xfId="352"/>
    <cellStyle name="一般 2 2 4 17" xfId="353"/>
    <cellStyle name="一般 2 2 4 18" xfId="354"/>
    <cellStyle name="一般 2 2 4 19" xfId="355"/>
    <cellStyle name="一般 2 2 4 2" xfId="356"/>
    <cellStyle name="一般 2 2 4 2 10" xfId="357"/>
    <cellStyle name="一般 2 2 4 2 11" xfId="358"/>
    <cellStyle name="一般 2 2 4 2 12" xfId="359"/>
    <cellStyle name="一般 2 2 4 2 13" xfId="360"/>
    <cellStyle name="一般 2 2 4 2 14" xfId="361"/>
    <cellStyle name="一般 2 2 4 2 2" xfId="362"/>
    <cellStyle name="一般 2 2 4 2 3" xfId="363"/>
    <cellStyle name="一般 2 2 4 2 4" xfId="364"/>
    <cellStyle name="一般 2 2 4 2 5" xfId="365"/>
    <cellStyle name="一般 2 2 4 2 6" xfId="366"/>
    <cellStyle name="一般 2 2 4 2 7" xfId="367"/>
    <cellStyle name="一般 2 2 4 2 8" xfId="368"/>
    <cellStyle name="一般 2 2 4 2 9" xfId="369"/>
    <cellStyle name="一般 2 2 4 20" xfId="370"/>
    <cellStyle name="一般 2 2 4 21" xfId="371"/>
    <cellStyle name="一般 2 2 4 22" xfId="372"/>
    <cellStyle name="一般 2 2 4 23" xfId="373"/>
    <cellStyle name="一般 2 2 4 24" xfId="374"/>
    <cellStyle name="一般 2 2 4 25" xfId="375"/>
    <cellStyle name="一般 2 2 4 26" xfId="376"/>
    <cellStyle name="一般 2 2 4 27" xfId="377"/>
    <cellStyle name="一般 2 2 4 28" xfId="378"/>
    <cellStyle name="一般 2 2 4 29" xfId="379"/>
    <cellStyle name="一般 2 2 4 3" xfId="380"/>
    <cellStyle name="一般 2 2 4 30" xfId="381"/>
    <cellStyle name="一般 2 2 4 31" xfId="382"/>
    <cellStyle name="一般 2 2 4 32" xfId="383"/>
    <cellStyle name="一般 2 2 4 33" xfId="384"/>
    <cellStyle name="一般 2 2 4 4" xfId="385"/>
    <cellStyle name="一般 2 2 4 5" xfId="386"/>
    <cellStyle name="一般 2 2 4 6" xfId="387"/>
    <cellStyle name="一般 2 2 4 7" xfId="388"/>
    <cellStyle name="一般 2 2 4 8" xfId="389"/>
    <cellStyle name="一般 2 2 4 9" xfId="390"/>
    <cellStyle name="一般 2 2 40" xfId="391"/>
    <cellStyle name="一般 2 2 41" xfId="392"/>
    <cellStyle name="一般 2 2 42" xfId="393"/>
    <cellStyle name="一般 2 2 43" xfId="394"/>
    <cellStyle name="一般 2 2 44" xfId="395"/>
    <cellStyle name="一般 2 2 45" xfId="396"/>
    <cellStyle name="一般 2 2 46" xfId="397"/>
    <cellStyle name="一般 2 2 47" xfId="398"/>
    <cellStyle name="一般 2 2 48" xfId="399"/>
    <cellStyle name="一般 2 2 49" xfId="400"/>
    <cellStyle name="一般 2 2 5" xfId="401"/>
    <cellStyle name="一般 2 2 50" xfId="402"/>
    <cellStyle name="一般 2 2 51" xfId="403"/>
    <cellStyle name="一般 2 2 52" xfId="404"/>
    <cellStyle name="一般 2 2 53" xfId="405"/>
    <cellStyle name="一般 2 2 54" xfId="406"/>
    <cellStyle name="一般 2 2 55" xfId="407"/>
    <cellStyle name="一般 2 2 56" xfId="408"/>
    <cellStyle name="一般 2 2 57" xfId="409"/>
    <cellStyle name="一般 2 2 58" xfId="410"/>
    <cellStyle name="一般 2 2 59" xfId="411"/>
    <cellStyle name="一般 2 2 6" xfId="412"/>
    <cellStyle name="一般 2 2 60" xfId="413"/>
    <cellStyle name="一般 2 2 61" xfId="414"/>
    <cellStyle name="一般 2 2 62" xfId="415"/>
    <cellStyle name="一般 2 2 63" xfId="416"/>
    <cellStyle name="一般 2 2 64" xfId="417"/>
    <cellStyle name="一般 2 2 7" xfId="418"/>
    <cellStyle name="一般 2 2 8" xfId="419"/>
    <cellStyle name="一般 2 2 9" xfId="420"/>
    <cellStyle name="一般 2 20" xfId="421"/>
    <cellStyle name="一般 2 21" xfId="422"/>
    <cellStyle name="一般 2 22" xfId="423"/>
    <cellStyle name="一般 2 23" xfId="424"/>
    <cellStyle name="一般 2 24" xfId="425"/>
    <cellStyle name="一般 2 25" xfId="426"/>
    <cellStyle name="一般 2 26" xfId="427"/>
    <cellStyle name="一般 2 27" xfId="428"/>
    <cellStyle name="一般 2 28" xfId="429"/>
    <cellStyle name="一般 2 29" xfId="430"/>
    <cellStyle name="一般 2 3" xfId="431"/>
    <cellStyle name="一般 2 3 2" xfId="432"/>
    <cellStyle name="一般 2 30" xfId="433"/>
    <cellStyle name="一般 2 31" xfId="434"/>
    <cellStyle name="一般 2 32" xfId="435"/>
    <cellStyle name="一般 2 33" xfId="436"/>
    <cellStyle name="一般 2 34" xfId="437"/>
    <cellStyle name="一般 2 35" xfId="438"/>
    <cellStyle name="一般 2 36" xfId="439"/>
    <cellStyle name="一般 2 37" xfId="440"/>
    <cellStyle name="一般 2 38" xfId="441"/>
    <cellStyle name="一般 2 39" xfId="442"/>
    <cellStyle name="一般 2 4" xfId="443"/>
    <cellStyle name="一般 2 40" xfId="444"/>
    <cellStyle name="一般 2 41" xfId="445"/>
    <cellStyle name="一般 2 42" xfId="446"/>
    <cellStyle name="一般 2 43" xfId="447"/>
    <cellStyle name="一般 2 44" xfId="448"/>
    <cellStyle name="一般 2 45" xfId="449"/>
    <cellStyle name="一般 2 46" xfId="450"/>
    <cellStyle name="一般 2 5" xfId="451"/>
    <cellStyle name="一般 2 6" xfId="452"/>
    <cellStyle name="一般 2 7" xfId="453"/>
    <cellStyle name="一般 2 8" xfId="454"/>
    <cellStyle name="一般 2 9" xfId="455"/>
    <cellStyle name="一般 20" xfId="456"/>
    <cellStyle name="一般 20 10" xfId="457"/>
    <cellStyle name="一般 20 11" xfId="458"/>
    <cellStyle name="一般 20 12" xfId="459"/>
    <cellStyle name="一般 20 13" xfId="460"/>
    <cellStyle name="一般 20 14" xfId="461"/>
    <cellStyle name="一般 20 15" xfId="462"/>
    <cellStyle name="一般 20 16" xfId="463"/>
    <cellStyle name="一般 20 17" xfId="464"/>
    <cellStyle name="一般 20 18" xfId="465"/>
    <cellStyle name="一般 20 19" xfId="466"/>
    <cellStyle name="一般 20 2" xfId="467"/>
    <cellStyle name="一般 20 20" xfId="468"/>
    <cellStyle name="一般 20 21" xfId="469"/>
    <cellStyle name="一般 20 3" xfId="470"/>
    <cellStyle name="一般 20 4" xfId="471"/>
    <cellStyle name="一般 20 5" xfId="472"/>
    <cellStyle name="一般 20 6" xfId="473"/>
    <cellStyle name="一般 20 7" xfId="474"/>
    <cellStyle name="一般 20 8" xfId="475"/>
    <cellStyle name="一般 20 9" xfId="476"/>
    <cellStyle name="一般 21" xfId="477"/>
    <cellStyle name="一般 21 10" xfId="478"/>
    <cellStyle name="一般 21 11" xfId="479"/>
    <cellStyle name="一般 21 12" xfId="480"/>
    <cellStyle name="一般 21 13" xfId="481"/>
    <cellStyle name="一般 21 14" xfId="482"/>
    <cellStyle name="一般 21 15" xfId="483"/>
    <cellStyle name="一般 21 16" xfId="484"/>
    <cellStyle name="一般 21 17" xfId="485"/>
    <cellStyle name="一般 21 18" xfId="486"/>
    <cellStyle name="一般 21 19" xfId="487"/>
    <cellStyle name="一般 21 2" xfId="488"/>
    <cellStyle name="一般 21 20" xfId="489"/>
    <cellStyle name="一般 21 21" xfId="490"/>
    <cellStyle name="一般 21 3" xfId="491"/>
    <cellStyle name="一般 21 4" xfId="492"/>
    <cellStyle name="一般 21 5" xfId="493"/>
    <cellStyle name="一般 21 6" xfId="494"/>
    <cellStyle name="一般 21 7" xfId="495"/>
    <cellStyle name="一般 21 8" xfId="496"/>
    <cellStyle name="一般 21 9" xfId="497"/>
    <cellStyle name="一般 22" xfId="6"/>
    <cellStyle name="一般 22 10" xfId="498"/>
    <cellStyle name="一般 22 11" xfId="499"/>
    <cellStyle name="一般 22 12" xfId="500"/>
    <cellStyle name="一般 22 13" xfId="501"/>
    <cellStyle name="一般 22 14" xfId="502"/>
    <cellStyle name="一般 22 15" xfId="503"/>
    <cellStyle name="一般 22 16" xfId="504"/>
    <cellStyle name="一般 22 17" xfId="505"/>
    <cellStyle name="一般 22 18" xfId="506"/>
    <cellStyle name="一般 22 19" xfId="507"/>
    <cellStyle name="一般 22 2" xfId="508"/>
    <cellStyle name="一般 22 20" xfId="509"/>
    <cellStyle name="一般 22 21" xfId="510"/>
    <cellStyle name="一般 22 3" xfId="511"/>
    <cellStyle name="一般 22 4" xfId="512"/>
    <cellStyle name="一般 22 5" xfId="513"/>
    <cellStyle name="一般 22 6" xfId="514"/>
    <cellStyle name="一般 22 7" xfId="515"/>
    <cellStyle name="一般 22 8" xfId="516"/>
    <cellStyle name="一般 22 9" xfId="517"/>
    <cellStyle name="一般 23" xfId="7"/>
    <cellStyle name="一般 23 10" xfId="518"/>
    <cellStyle name="一般 23 11" xfId="519"/>
    <cellStyle name="一般 23 12" xfId="520"/>
    <cellStyle name="一般 23 13" xfId="521"/>
    <cellStyle name="一般 23 14" xfId="522"/>
    <cellStyle name="一般 23 15" xfId="523"/>
    <cellStyle name="一般 23 16" xfId="524"/>
    <cellStyle name="一般 23 17" xfId="525"/>
    <cellStyle name="一般 23 18" xfId="526"/>
    <cellStyle name="一般 23 19" xfId="527"/>
    <cellStyle name="一般 23 2" xfId="528"/>
    <cellStyle name="一般 23 20" xfId="529"/>
    <cellStyle name="一般 23 21" xfId="530"/>
    <cellStyle name="一般 23 3" xfId="531"/>
    <cellStyle name="一般 23 4" xfId="532"/>
    <cellStyle name="一般 23 5" xfId="533"/>
    <cellStyle name="一般 23 6" xfId="534"/>
    <cellStyle name="一般 23 7" xfId="535"/>
    <cellStyle name="一般 23 8" xfId="536"/>
    <cellStyle name="一般 23 9" xfId="537"/>
    <cellStyle name="一般 24" xfId="538"/>
    <cellStyle name="一般 24 10" xfId="539"/>
    <cellStyle name="一般 24 11" xfId="540"/>
    <cellStyle name="一般 24 12" xfId="541"/>
    <cellStyle name="一般 24 13" xfId="542"/>
    <cellStyle name="一般 24 14" xfId="543"/>
    <cellStyle name="一般 24 15" xfId="544"/>
    <cellStyle name="一般 24 16" xfId="545"/>
    <cellStyle name="一般 24 17" xfId="546"/>
    <cellStyle name="一般 24 18" xfId="547"/>
    <cellStyle name="一般 24 19" xfId="548"/>
    <cellStyle name="一般 24 2" xfId="549"/>
    <cellStyle name="一般 24 20" xfId="550"/>
    <cellStyle name="一般 24 21" xfId="551"/>
    <cellStyle name="一般 24 3" xfId="552"/>
    <cellStyle name="一般 24 4" xfId="553"/>
    <cellStyle name="一般 24 5" xfId="554"/>
    <cellStyle name="一般 24 6" xfId="555"/>
    <cellStyle name="一般 24 7" xfId="556"/>
    <cellStyle name="一般 24 8" xfId="557"/>
    <cellStyle name="一般 24 9" xfId="558"/>
    <cellStyle name="一般 25" xfId="559"/>
    <cellStyle name="一般 25 10" xfId="560"/>
    <cellStyle name="一般 25 11" xfId="561"/>
    <cellStyle name="一般 25 12" xfId="562"/>
    <cellStyle name="一般 25 13" xfId="563"/>
    <cellStyle name="一般 25 14" xfId="564"/>
    <cellStyle name="一般 25 15" xfId="565"/>
    <cellStyle name="一般 25 16" xfId="566"/>
    <cellStyle name="一般 25 17" xfId="567"/>
    <cellStyle name="一般 25 18" xfId="568"/>
    <cellStyle name="一般 25 19" xfId="569"/>
    <cellStyle name="一般 25 2" xfId="570"/>
    <cellStyle name="一般 25 20" xfId="571"/>
    <cellStyle name="一般 25 21" xfId="572"/>
    <cellStyle name="一般 25 3" xfId="573"/>
    <cellStyle name="一般 25 4" xfId="574"/>
    <cellStyle name="一般 25 5" xfId="575"/>
    <cellStyle name="一般 25 6" xfId="576"/>
    <cellStyle name="一般 25 7" xfId="577"/>
    <cellStyle name="一般 25 8" xfId="578"/>
    <cellStyle name="一般 25 9" xfId="579"/>
    <cellStyle name="一般 26" xfId="580"/>
    <cellStyle name="一般 26 10" xfId="581"/>
    <cellStyle name="一般 26 11" xfId="582"/>
    <cellStyle name="一般 26 12" xfId="583"/>
    <cellStyle name="一般 26 13" xfId="584"/>
    <cellStyle name="一般 26 14" xfId="585"/>
    <cellStyle name="一般 26 15" xfId="586"/>
    <cellStyle name="一般 26 16" xfId="587"/>
    <cellStyle name="一般 26 17" xfId="588"/>
    <cellStyle name="一般 26 18" xfId="589"/>
    <cellStyle name="一般 26 19" xfId="590"/>
    <cellStyle name="一般 26 2" xfId="591"/>
    <cellStyle name="一般 26 20" xfId="592"/>
    <cellStyle name="一般 26 21" xfId="593"/>
    <cellStyle name="一般 26 3" xfId="594"/>
    <cellStyle name="一般 26 4" xfId="595"/>
    <cellStyle name="一般 26 5" xfId="596"/>
    <cellStyle name="一般 26 6" xfId="597"/>
    <cellStyle name="一般 26 7" xfId="598"/>
    <cellStyle name="一般 26 8" xfId="599"/>
    <cellStyle name="一般 26 9" xfId="600"/>
    <cellStyle name="一般 27" xfId="5"/>
    <cellStyle name="一般 27 10" xfId="601"/>
    <cellStyle name="一般 27 11" xfId="602"/>
    <cellStyle name="一般 27 12" xfId="603"/>
    <cellStyle name="一般 27 13" xfId="604"/>
    <cellStyle name="一般 27 14" xfId="605"/>
    <cellStyle name="一般 27 15" xfId="606"/>
    <cellStyle name="一般 27 16" xfId="607"/>
    <cellStyle name="一般 27 17" xfId="608"/>
    <cellStyle name="一般 27 18" xfId="609"/>
    <cellStyle name="一般 27 19" xfId="610"/>
    <cellStyle name="一般 27 2" xfId="611"/>
    <cellStyle name="一般 27 20" xfId="612"/>
    <cellStyle name="一般 27 21" xfId="613"/>
    <cellStyle name="一般 27 3" xfId="614"/>
    <cellStyle name="一般 27 4" xfId="615"/>
    <cellStyle name="一般 27 5" xfId="616"/>
    <cellStyle name="一般 27 6" xfId="617"/>
    <cellStyle name="一般 27 7" xfId="618"/>
    <cellStyle name="一般 27 8" xfId="619"/>
    <cellStyle name="一般 27 9" xfId="620"/>
    <cellStyle name="一般 28" xfId="621"/>
    <cellStyle name="一般 28 10" xfId="622"/>
    <cellStyle name="一般 28 11" xfId="623"/>
    <cellStyle name="一般 28 12" xfId="624"/>
    <cellStyle name="一般 28 13" xfId="625"/>
    <cellStyle name="一般 28 14" xfId="626"/>
    <cellStyle name="一般 28 15" xfId="627"/>
    <cellStyle name="一般 28 16" xfId="628"/>
    <cellStyle name="一般 28 17" xfId="629"/>
    <cellStyle name="一般 28 18" xfId="630"/>
    <cellStyle name="一般 28 19" xfId="631"/>
    <cellStyle name="一般 28 2" xfId="632"/>
    <cellStyle name="一般 28 20" xfId="633"/>
    <cellStyle name="一般 28 21" xfId="634"/>
    <cellStyle name="一般 28 3" xfId="635"/>
    <cellStyle name="一般 28 4" xfId="636"/>
    <cellStyle name="一般 28 5" xfId="637"/>
    <cellStyle name="一般 28 6" xfId="638"/>
    <cellStyle name="一般 28 7" xfId="639"/>
    <cellStyle name="一般 28 8" xfId="640"/>
    <cellStyle name="一般 28 9" xfId="641"/>
    <cellStyle name="一般 29" xfId="642"/>
    <cellStyle name="一般 29 10" xfId="643"/>
    <cellStyle name="一般 29 11" xfId="644"/>
    <cellStyle name="一般 29 12" xfId="645"/>
    <cellStyle name="一般 29 13" xfId="646"/>
    <cellStyle name="一般 29 14" xfId="647"/>
    <cellStyle name="一般 29 15" xfId="648"/>
    <cellStyle name="一般 29 16" xfId="649"/>
    <cellStyle name="一般 29 17" xfId="650"/>
    <cellStyle name="一般 29 18" xfId="651"/>
    <cellStyle name="一般 29 19" xfId="652"/>
    <cellStyle name="一般 29 2" xfId="653"/>
    <cellStyle name="一般 29 20" xfId="654"/>
    <cellStyle name="一般 29 21" xfId="655"/>
    <cellStyle name="一般 29 3" xfId="656"/>
    <cellStyle name="一般 29 4" xfId="657"/>
    <cellStyle name="一般 29 5" xfId="658"/>
    <cellStyle name="一般 29 6" xfId="659"/>
    <cellStyle name="一般 29 7" xfId="660"/>
    <cellStyle name="一般 29 8" xfId="661"/>
    <cellStyle name="一般 29 9" xfId="662"/>
    <cellStyle name="一般 3" xfId="663"/>
    <cellStyle name="一般 3 2" xfId="664"/>
    <cellStyle name="一般 3 2 2" xfId="665"/>
    <cellStyle name="一般 3 2 2 2" xfId="666"/>
    <cellStyle name="一般 3 3" xfId="667"/>
    <cellStyle name="一般 30" xfId="4"/>
    <cellStyle name="一般 30 10" xfId="668"/>
    <cellStyle name="一般 30 11" xfId="669"/>
    <cellStyle name="一般 30 12" xfId="670"/>
    <cellStyle name="一般 30 13" xfId="671"/>
    <cellStyle name="一般 30 14" xfId="672"/>
    <cellStyle name="一般 30 15" xfId="673"/>
    <cellStyle name="一般 30 16" xfId="674"/>
    <cellStyle name="一般 30 17" xfId="675"/>
    <cellStyle name="一般 30 18" xfId="676"/>
    <cellStyle name="一般 30 19" xfId="677"/>
    <cellStyle name="一般 30 2" xfId="678"/>
    <cellStyle name="一般 30 20" xfId="679"/>
    <cellStyle name="一般 30 21" xfId="680"/>
    <cellStyle name="一般 30 3" xfId="681"/>
    <cellStyle name="一般 30 4" xfId="682"/>
    <cellStyle name="一般 30 5" xfId="683"/>
    <cellStyle name="一般 30 6" xfId="684"/>
    <cellStyle name="一般 30 7" xfId="685"/>
    <cellStyle name="一般 30 8" xfId="686"/>
    <cellStyle name="一般 30 9" xfId="687"/>
    <cellStyle name="一般 4" xfId="688"/>
    <cellStyle name="一般 5" xfId="689"/>
    <cellStyle name="一般 5 2" xfId="690"/>
    <cellStyle name="一般 5 2 2" xfId="691"/>
    <cellStyle name="一般 5 2 3" xfId="692"/>
    <cellStyle name="一般 6" xfId="693"/>
    <cellStyle name="一般 7" xfId="694"/>
    <cellStyle name="一般 7 10" xfId="695"/>
    <cellStyle name="一般 7 11" xfId="696"/>
    <cellStyle name="一般 7 12" xfId="697"/>
    <cellStyle name="一般 7 13" xfId="698"/>
    <cellStyle name="一般 7 14" xfId="699"/>
    <cellStyle name="一般 7 15" xfId="700"/>
    <cellStyle name="一般 7 16" xfId="701"/>
    <cellStyle name="一般 7 17" xfId="702"/>
    <cellStyle name="一般 7 18" xfId="703"/>
    <cellStyle name="一般 7 19" xfId="704"/>
    <cellStyle name="一般 7 2" xfId="705"/>
    <cellStyle name="一般 7 20" xfId="706"/>
    <cellStyle name="一般 7 21" xfId="707"/>
    <cellStyle name="一般 7 3" xfId="708"/>
    <cellStyle name="一般 7 4" xfId="709"/>
    <cellStyle name="一般 7 5" xfId="710"/>
    <cellStyle name="一般 7 6" xfId="711"/>
    <cellStyle name="一般 7 7" xfId="712"/>
    <cellStyle name="一般 7 8" xfId="713"/>
    <cellStyle name="一般 7 9" xfId="714"/>
    <cellStyle name="一般 75" xfId="715"/>
    <cellStyle name="一般 76" xfId="716"/>
    <cellStyle name="一般 79" xfId="717"/>
    <cellStyle name="一般 8" xfId="718"/>
    <cellStyle name="一般 8 10" xfId="719"/>
    <cellStyle name="一般 8 11" xfId="720"/>
    <cellStyle name="一般 8 12" xfId="721"/>
    <cellStyle name="一般 8 13" xfId="722"/>
    <cellStyle name="一般 8 14" xfId="723"/>
    <cellStyle name="一般 8 15" xfId="724"/>
    <cellStyle name="一般 8 16" xfId="725"/>
    <cellStyle name="一般 8 17" xfId="726"/>
    <cellStyle name="一般 8 18" xfId="727"/>
    <cellStyle name="一般 8 19" xfId="728"/>
    <cellStyle name="一般 8 2" xfId="729"/>
    <cellStyle name="一般 8 20" xfId="730"/>
    <cellStyle name="一般 8 21" xfId="731"/>
    <cellStyle name="一般 8 3" xfId="732"/>
    <cellStyle name="一般 8 4" xfId="733"/>
    <cellStyle name="一般 8 5" xfId="734"/>
    <cellStyle name="一般 8 6" xfId="735"/>
    <cellStyle name="一般 8 7" xfId="736"/>
    <cellStyle name="一般 8 8" xfId="737"/>
    <cellStyle name="一般 8 9" xfId="738"/>
    <cellStyle name="一般 85" xfId="739"/>
    <cellStyle name="一般 87" xfId="740"/>
    <cellStyle name="一般 89" xfId="741"/>
    <cellStyle name="一般 90" xfId="742"/>
    <cellStyle name="千分位 2" xfId="743"/>
    <cellStyle name="千分位 2 2" xfId="744"/>
    <cellStyle name="千分位 2 2 2" xfId="745"/>
    <cellStyle name="千分位 2 3" xfId="746"/>
    <cellStyle name="千分位 3" xfId="747"/>
    <cellStyle name="百分比" xfId="750" builtinId="5"/>
    <cellStyle name="百分比 2" xfId="748"/>
    <cellStyle name="貨幣 2" xfId="7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75" workbookViewId="0">
      <selection activeCell="B6" sqref="B6:H6"/>
    </sheetView>
  </sheetViews>
  <sheetFormatPr defaultRowHeight="16.5"/>
  <cols>
    <col min="1" max="1" width="4" customWidth="1"/>
    <col min="2" max="2" width="15" style="111" customWidth="1"/>
    <col min="3" max="4" width="11.875" style="111" customWidth="1"/>
    <col min="5" max="5" width="9" style="111"/>
    <col min="7" max="7" width="9.75" customWidth="1"/>
  </cols>
  <sheetData>
    <row r="1" spans="1:8" ht="21">
      <c r="A1" s="409" t="s">
        <v>479</v>
      </c>
      <c r="B1" s="409"/>
      <c r="C1" s="409"/>
      <c r="D1" s="409"/>
      <c r="E1" s="409"/>
      <c r="F1" s="409"/>
      <c r="G1" s="409"/>
      <c r="H1" s="409"/>
    </row>
    <row r="2" spans="1:8" s="166" customFormat="1">
      <c r="A2" s="166">
        <v>1</v>
      </c>
      <c r="B2" s="412" t="s">
        <v>474</v>
      </c>
      <c r="C2" s="412"/>
      <c r="D2" s="412"/>
      <c r="E2" s="412"/>
      <c r="F2" s="412"/>
      <c r="G2" s="412"/>
      <c r="H2" s="412"/>
    </row>
    <row r="3" spans="1:8">
      <c r="A3">
        <v>2</v>
      </c>
      <c r="B3" s="414" t="s">
        <v>473</v>
      </c>
      <c r="C3" s="414"/>
      <c r="D3" s="414"/>
      <c r="E3" s="414"/>
      <c r="F3" s="414"/>
      <c r="G3" s="414"/>
      <c r="H3" s="414"/>
    </row>
    <row r="4" spans="1:8" ht="19.5">
      <c r="B4" s="165" t="s">
        <v>187</v>
      </c>
      <c r="C4" s="50"/>
    </row>
    <row r="5" spans="1:8" ht="18" customHeight="1">
      <c r="A5">
        <v>3</v>
      </c>
      <c r="B5" s="415" t="s">
        <v>341</v>
      </c>
      <c r="C5" s="415"/>
      <c r="D5" s="415"/>
      <c r="E5" s="415"/>
      <c r="F5" s="415"/>
      <c r="G5" s="415"/>
      <c r="H5" s="415"/>
    </row>
    <row r="6" spans="1:8">
      <c r="A6">
        <v>4</v>
      </c>
      <c r="B6" s="414" t="s">
        <v>437</v>
      </c>
      <c r="C6" s="414"/>
      <c r="D6" s="414"/>
      <c r="E6" s="414"/>
      <c r="F6" s="414"/>
      <c r="G6" s="414"/>
      <c r="H6" s="414"/>
    </row>
    <row r="7" spans="1:8">
      <c r="B7" s="2" t="s">
        <v>436</v>
      </c>
      <c r="C7" s="2" t="s">
        <v>452</v>
      </c>
      <c r="D7" s="2" t="s">
        <v>453</v>
      </c>
      <c r="E7" s="142" t="s">
        <v>454</v>
      </c>
    </row>
    <row r="8" spans="1:8">
      <c r="B8" s="2" t="s">
        <v>438</v>
      </c>
      <c r="C8" s="2">
        <v>185</v>
      </c>
      <c r="D8" s="2">
        <v>130</v>
      </c>
      <c r="E8" s="2"/>
    </row>
    <row r="9" spans="1:8">
      <c r="B9" s="2" t="s">
        <v>467</v>
      </c>
      <c r="C9" s="2">
        <v>455</v>
      </c>
      <c r="D9" s="2">
        <v>330</v>
      </c>
      <c r="E9" s="2"/>
    </row>
    <row r="10" spans="1:8">
      <c r="B10" s="2" t="s">
        <v>439</v>
      </c>
      <c r="C10" s="2">
        <v>155</v>
      </c>
      <c r="D10" s="2">
        <v>145</v>
      </c>
      <c r="E10" s="2"/>
    </row>
    <row r="11" spans="1:8">
      <c r="B11" s="2" t="s">
        <v>449</v>
      </c>
      <c r="C11" s="2">
        <v>130</v>
      </c>
      <c r="D11" s="2">
        <v>120</v>
      </c>
      <c r="E11" s="2"/>
    </row>
    <row r="12" spans="1:8">
      <c r="B12" s="2" t="s">
        <v>456</v>
      </c>
      <c r="C12" s="2">
        <v>120</v>
      </c>
      <c r="D12" s="2">
        <v>120</v>
      </c>
      <c r="E12" s="136" t="s">
        <v>469</v>
      </c>
    </row>
    <row r="13" spans="1:8">
      <c r="B13" s="2" t="s">
        <v>205</v>
      </c>
      <c r="C13" s="2">
        <v>125</v>
      </c>
      <c r="D13" s="2">
        <v>110</v>
      </c>
      <c r="E13" s="2"/>
    </row>
    <row r="14" spans="1:8">
      <c r="B14" s="2" t="s">
        <v>440</v>
      </c>
      <c r="C14" s="2">
        <v>125</v>
      </c>
      <c r="D14" s="2">
        <v>100</v>
      </c>
      <c r="E14" s="2"/>
    </row>
    <row r="15" spans="1:8">
      <c r="B15" s="2" t="s">
        <v>441</v>
      </c>
      <c r="C15" s="2">
        <v>170</v>
      </c>
      <c r="D15" s="2">
        <v>140</v>
      </c>
      <c r="E15" s="2"/>
    </row>
    <row r="16" spans="1:8">
      <c r="B16" s="2" t="s">
        <v>442</v>
      </c>
      <c r="C16" s="2">
        <v>190</v>
      </c>
      <c r="D16" s="2">
        <v>180</v>
      </c>
      <c r="E16" s="2"/>
    </row>
    <row r="17" spans="2:5">
      <c r="B17" s="2" t="s">
        <v>443</v>
      </c>
      <c r="C17" s="2">
        <v>85</v>
      </c>
      <c r="D17" s="2">
        <v>80</v>
      </c>
      <c r="E17" s="2"/>
    </row>
    <row r="18" spans="2:5">
      <c r="B18" s="2" t="s">
        <v>466</v>
      </c>
      <c r="C18" s="2">
        <v>145</v>
      </c>
      <c r="D18" s="2">
        <v>135</v>
      </c>
      <c r="E18" s="2"/>
    </row>
    <row r="19" spans="2:5">
      <c r="B19" s="2" t="s">
        <v>444</v>
      </c>
      <c r="C19" s="2">
        <v>155</v>
      </c>
      <c r="D19" s="2">
        <v>130</v>
      </c>
      <c r="E19" s="2"/>
    </row>
    <row r="20" spans="2:5">
      <c r="B20" s="2" t="s">
        <v>465</v>
      </c>
      <c r="C20" s="2">
        <v>135</v>
      </c>
      <c r="D20" s="2">
        <v>95</v>
      </c>
      <c r="E20" s="2"/>
    </row>
    <row r="21" spans="2:5">
      <c r="B21" s="2" t="s">
        <v>445</v>
      </c>
      <c r="C21" s="2">
        <v>150</v>
      </c>
      <c r="D21" s="2">
        <v>115</v>
      </c>
      <c r="E21" s="2"/>
    </row>
    <row r="22" spans="2:5">
      <c r="B22" s="2" t="s">
        <v>450</v>
      </c>
      <c r="C22" s="2">
        <v>180</v>
      </c>
      <c r="D22" s="2">
        <v>150</v>
      </c>
      <c r="E22" s="2"/>
    </row>
    <row r="23" spans="2:5">
      <c r="B23" s="2" t="s">
        <v>451</v>
      </c>
      <c r="C23" s="2">
        <v>170</v>
      </c>
      <c r="D23" s="2">
        <v>130</v>
      </c>
      <c r="E23" s="2"/>
    </row>
    <row r="24" spans="2:5">
      <c r="B24" s="2" t="s">
        <v>446</v>
      </c>
      <c r="C24" s="2">
        <v>110</v>
      </c>
      <c r="D24" s="2">
        <v>90</v>
      </c>
      <c r="E24" s="2"/>
    </row>
    <row r="25" spans="2:5">
      <c r="B25" s="2" t="s">
        <v>447</v>
      </c>
      <c r="C25" s="2">
        <v>190</v>
      </c>
      <c r="D25" s="2">
        <v>125</v>
      </c>
      <c r="E25" s="2"/>
    </row>
    <row r="26" spans="2:5">
      <c r="B26" s="2" t="s">
        <v>448</v>
      </c>
      <c r="C26" s="2">
        <v>75</v>
      </c>
      <c r="D26" s="2">
        <v>55</v>
      </c>
      <c r="E26" s="136" t="s">
        <v>455</v>
      </c>
    </row>
    <row r="27" spans="2:5">
      <c r="B27" s="142" t="s">
        <v>457</v>
      </c>
      <c r="C27" s="2">
        <v>150</v>
      </c>
      <c r="D27" s="2">
        <v>100</v>
      </c>
      <c r="E27" s="2"/>
    </row>
    <row r="28" spans="2:5">
      <c r="B28" s="142" t="s">
        <v>458</v>
      </c>
      <c r="C28" s="2">
        <v>205</v>
      </c>
      <c r="D28" s="2">
        <v>125</v>
      </c>
      <c r="E28" s="2"/>
    </row>
    <row r="29" spans="2:5">
      <c r="B29" s="142" t="s">
        <v>459</v>
      </c>
      <c r="C29" s="2">
        <v>125</v>
      </c>
      <c r="D29" s="2">
        <v>110</v>
      </c>
      <c r="E29" s="2"/>
    </row>
    <row r="30" spans="2:5">
      <c r="B30" s="142" t="s">
        <v>460</v>
      </c>
      <c r="C30" s="2">
        <v>300</v>
      </c>
      <c r="D30" s="2">
        <v>180</v>
      </c>
      <c r="E30" s="2"/>
    </row>
    <row r="31" spans="2:5">
      <c r="B31" s="142" t="s">
        <v>461</v>
      </c>
      <c r="C31" s="2">
        <v>335</v>
      </c>
      <c r="D31" s="2">
        <v>210</v>
      </c>
      <c r="E31" s="2"/>
    </row>
    <row r="32" spans="2:5">
      <c r="B32" s="142" t="s">
        <v>462</v>
      </c>
      <c r="C32" s="2">
        <v>170</v>
      </c>
      <c r="D32" s="2">
        <v>160</v>
      </c>
      <c r="E32" s="136" t="s">
        <v>464</v>
      </c>
    </row>
    <row r="33" spans="1:8">
      <c r="B33" s="142" t="s">
        <v>463</v>
      </c>
      <c r="C33" s="2">
        <v>275</v>
      </c>
      <c r="D33" s="2">
        <v>200</v>
      </c>
      <c r="E33" s="2"/>
    </row>
    <row r="34" spans="1:8">
      <c r="B34" s="142" t="s">
        <v>468</v>
      </c>
      <c r="C34" s="2"/>
      <c r="D34" s="2">
        <v>145</v>
      </c>
      <c r="E34" s="2"/>
    </row>
    <row r="35" spans="1:8" ht="26.25" customHeight="1">
      <c r="B35" s="411" t="s">
        <v>472</v>
      </c>
      <c r="C35" s="411"/>
      <c r="D35" s="411"/>
      <c r="E35" s="411"/>
      <c r="F35" s="411"/>
      <c r="G35" s="411"/>
      <c r="H35" s="411"/>
    </row>
    <row r="36" spans="1:8">
      <c r="A36">
        <v>5</v>
      </c>
      <c r="B36" s="413" t="s">
        <v>475</v>
      </c>
      <c r="C36" s="413"/>
      <c r="D36" s="413"/>
      <c r="E36" s="413"/>
      <c r="F36" s="413"/>
      <c r="G36" s="413"/>
      <c r="H36" s="413"/>
    </row>
    <row r="37" spans="1:8">
      <c r="A37">
        <v>6</v>
      </c>
      <c r="B37" s="410" t="s">
        <v>470</v>
      </c>
      <c r="C37" s="410"/>
      <c r="D37" s="410"/>
      <c r="E37" s="410"/>
      <c r="F37" s="410"/>
      <c r="G37" s="410"/>
      <c r="H37" s="410"/>
    </row>
    <row r="38" spans="1:8">
      <c r="B38" s="410" t="s">
        <v>471</v>
      </c>
      <c r="C38" s="410"/>
      <c r="D38" s="410"/>
      <c r="E38" s="410"/>
      <c r="F38" s="410"/>
      <c r="G38" s="410"/>
      <c r="H38" s="410"/>
    </row>
  </sheetData>
  <mergeCells count="9">
    <mergeCell ref="A1:H1"/>
    <mergeCell ref="B37:H37"/>
    <mergeCell ref="B38:H38"/>
    <mergeCell ref="B35:H35"/>
    <mergeCell ref="B2:H2"/>
    <mergeCell ref="B36:H36"/>
    <mergeCell ref="B3:H3"/>
    <mergeCell ref="B5:H5"/>
    <mergeCell ref="B6:H6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2"/>
  <sheetViews>
    <sheetView zoomScale="70" zoomScaleNormal="70" workbookViewId="0">
      <selection activeCell="B16" sqref="B16:B18"/>
    </sheetView>
  </sheetViews>
  <sheetFormatPr defaultRowHeight="16.5"/>
  <cols>
    <col min="1" max="1" width="5.5" customWidth="1"/>
    <col min="2" max="2" width="11.5" customWidth="1"/>
    <col min="3" max="3" width="12.25" customWidth="1"/>
    <col min="4" max="4" width="6.375" customWidth="1"/>
    <col min="5" max="5" width="9.25" customWidth="1"/>
    <col min="6" max="6" width="5.5" style="80" customWidth="1"/>
    <col min="7" max="7" width="6.625" style="80" customWidth="1"/>
    <col min="8" max="8" width="10.875" style="80" customWidth="1"/>
    <col min="9" max="9" width="12.375" style="80" bestFit="1" customWidth="1"/>
    <col min="10" max="10" width="6.875" style="80" customWidth="1"/>
    <col min="11" max="11" width="8.375" style="80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23" t="s">
        <v>327</v>
      </c>
      <c r="B2" s="28" t="s">
        <v>17</v>
      </c>
      <c r="C2" s="2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38" t="s">
        <v>0</v>
      </c>
      <c r="B3" s="20" t="s">
        <v>128</v>
      </c>
      <c r="C3" s="12" t="s">
        <v>128</v>
      </c>
      <c r="D3" s="9">
        <v>100</v>
      </c>
      <c r="E3" s="7">
        <f>D3*D1/1000</f>
        <v>0</v>
      </c>
      <c r="F3" s="75" t="s">
        <v>75</v>
      </c>
      <c r="G3" s="75"/>
      <c r="H3" s="221">
        <v>4</v>
      </c>
      <c r="I3" s="221">
        <v>11</v>
      </c>
      <c r="J3" s="221">
        <v>6</v>
      </c>
      <c r="K3" s="221">
        <f>H3*4+I3*4+J3*9</f>
        <v>114</v>
      </c>
    </row>
    <row r="4" spans="1:11">
      <c r="A4" s="455"/>
      <c r="B4" s="20" t="s">
        <v>163</v>
      </c>
      <c r="C4" s="12" t="s">
        <v>163</v>
      </c>
      <c r="D4" s="9">
        <v>20</v>
      </c>
      <c r="E4" s="7">
        <f>D4*D1/1000</f>
        <v>0</v>
      </c>
      <c r="F4" s="78" t="s">
        <v>88</v>
      </c>
      <c r="G4" s="251">
        <v>1</v>
      </c>
      <c r="H4" s="221">
        <f>G4*2</f>
        <v>2</v>
      </c>
      <c r="I4" s="221">
        <f>G4*15</f>
        <v>15</v>
      </c>
      <c r="J4" s="221"/>
      <c r="K4" s="221">
        <f>H4*4+I4*4+J4*9</f>
        <v>68</v>
      </c>
    </row>
    <row r="5" spans="1:11">
      <c r="A5" s="440" t="s">
        <v>1</v>
      </c>
      <c r="B5" s="440" t="s">
        <v>249</v>
      </c>
      <c r="C5" s="14" t="s">
        <v>28</v>
      </c>
      <c r="D5" s="47">
        <v>35</v>
      </c>
      <c r="E5" s="7">
        <f>D5*D1/1000</f>
        <v>0</v>
      </c>
      <c r="F5" s="181" t="s">
        <v>88</v>
      </c>
      <c r="G5" s="229">
        <f>D5/20</f>
        <v>1.75</v>
      </c>
      <c r="H5" s="229">
        <f>G5*2</f>
        <v>3.5</v>
      </c>
      <c r="I5" s="229">
        <f>G5*15</f>
        <v>26.25</v>
      </c>
      <c r="J5" s="229"/>
      <c r="K5" s="221">
        <f t="shared" ref="K5:K20" si="0">H5*4+I5*4+J5*9</f>
        <v>119</v>
      </c>
    </row>
    <row r="6" spans="1:11">
      <c r="A6" s="434"/>
      <c r="B6" s="434"/>
      <c r="C6" s="14" t="s">
        <v>127</v>
      </c>
      <c r="D6" s="47">
        <v>15</v>
      </c>
      <c r="E6" s="7">
        <f>D6*D1/1000</f>
        <v>0</v>
      </c>
      <c r="F6" s="181" t="s">
        <v>88</v>
      </c>
      <c r="G6" s="221">
        <f>D6/85</f>
        <v>0.17647058823529413</v>
      </c>
      <c r="H6" s="221">
        <f>G6*2</f>
        <v>0.35294117647058826</v>
      </c>
      <c r="I6" s="221">
        <f>G6*15</f>
        <v>2.6470588235294121</v>
      </c>
      <c r="J6" s="221">
        <f>G6*0</f>
        <v>0</v>
      </c>
      <c r="K6" s="221">
        <f t="shared" si="0"/>
        <v>12.000000000000002</v>
      </c>
    </row>
    <row r="7" spans="1:11">
      <c r="A7" s="434"/>
      <c r="B7" s="434"/>
      <c r="C7" s="13" t="s">
        <v>184</v>
      </c>
      <c r="D7" s="9">
        <v>30</v>
      </c>
      <c r="E7" s="7">
        <f>D7*D1/1000</f>
        <v>0</v>
      </c>
      <c r="F7" s="39" t="s">
        <v>112</v>
      </c>
      <c r="G7" s="238">
        <f>D7/55</f>
        <v>0.54545454545454541</v>
      </c>
      <c r="H7" s="229">
        <f>G7*7</f>
        <v>3.8181818181818179</v>
      </c>
      <c r="I7" s="229">
        <v>0</v>
      </c>
      <c r="J7" s="229">
        <f>G7*5</f>
        <v>2.7272727272727271</v>
      </c>
      <c r="K7" s="221">
        <f t="shared" si="0"/>
        <v>39.818181818181813</v>
      </c>
    </row>
    <row r="8" spans="1:11">
      <c r="A8" s="434"/>
      <c r="B8" s="434"/>
      <c r="C8" s="13" t="s">
        <v>80</v>
      </c>
      <c r="D8" s="47">
        <v>20</v>
      </c>
      <c r="E8" s="7">
        <f>D8*D1/1000</f>
        <v>0</v>
      </c>
      <c r="F8" s="39" t="s">
        <v>112</v>
      </c>
      <c r="G8" s="238">
        <f>D8/30</f>
        <v>0.66666666666666663</v>
      </c>
      <c r="H8" s="221">
        <f>G8*7</f>
        <v>4.6666666666666661</v>
      </c>
      <c r="I8" s="221">
        <f>G8*0</f>
        <v>0</v>
      </c>
      <c r="J8" s="221">
        <f>G8*5</f>
        <v>3.333333333333333</v>
      </c>
      <c r="K8" s="221">
        <f t="shared" si="0"/>
        <v>48.666666666666657</v>
      </c>
    </row>
    <row r="9" spans="1:11">
      <c r="A9" s="434"/>
      <c r="B9" s="434"/>
      <c r="C9" s="14" t="s">
        <v>428</v>
      </c>
      <c r="D9" s="31">
        <v>8</v>
      </c>
      <c r="E9" s="7">
        <f>D9*D1/1000</f>
        <v>0</v>
      </c>
      <c r="F9" s="41" t="s">
        <v>112</v>
      </c>
      <c r="G9" s="229">
        <f>D9/35</f>
        <v>0.22857142857142856</v>
      </c>
      <c r="H9" s="221">
        <f>G9*7</f>
        <v>1.5999999999999999</v>
      </c>
      <c r="I9" s="221">
        <f>G9*0</f>
        <v>0</v>
      </c>
      <c r="J9" s="221">
        <f>G9*5</f>
        <v>1.1428571428571428</v>
      </c>
      <c r="K9" s="221">
        <f t="shared" si="0"/>
        <v>16.685714285714283</v>
      </c>
    </row>
    <row r="10" spans="1:11">
      <c r="A10" s="434"/>
      <c r="B10" s="434"/>
      <c r="C10" s="14" t="s">
        <v>32</v>
      </c>
      <c r="D10" s="31">
        <v>0.5</v>
      </c>
      <c r="E10" s="7">
        <f>D10*D1/1000</f>
        <v>0</v>
      </c>
      <c r="F10" s="41" t="s">
        <v>81</v>
      </c>
      <c r="G10" s="229">
        <f>D10/100</f>
        <v>5.0000000000000001E-3</v>
      </c>
      <c r="H10" s="221">
        <f>1*G10</f>
        <v>5.0000000000000001E-3</v>
      </c>
      <c r="I10" s="221">
        <f>G10*5</f>
        <v>2.5000000000000001E-2</v>
      </c>
      <c r="J10" s="221">
        <f>0</f>
        <v>0</v>
      </c>
      <c r="K10" s="221">
        <f t="shared" si="0"/>
        <v>0.12000000000000001</v>
      </c>
    </row>
    <row r="11" spans="1:11">
      <c r="A11" s="434"/>
      <c r="B11" s="434"/>
      <c r="C11" s="14" t="s">
        <v>140</v>
      </c>
      <c r="D11" s="31">
        <v>10</v>
      </c>
      <c r="E11" s="7">
        <f>D11*D1/1000</f>
        <v>0</v>
      </c>
      <c r="F11" s="41" t="s">
        <v>81</v>
      </c>
      <c r="G11" s="229">
        <f>D11/100</f>
        <v>0.1</v>
      </c>
      <c r="H11" s="221">
        <f>1*G11</f>
        <v>0.1</v>
      </c>
      <c r="I11" s="221">
        <f>G11*5</f>
        <v>0.5</v>
      </c>
      <c r="J11" s="221">
        <f>0</f>
        <v>0</v>
      </c>
      <c r="K11" s="221">
        <f t="shared" si="0"/>
        <v>2.4</v>
      </c>
    </row>
    <row r="12" spans="1:11" s="173" customFormat="1">
      <c r="A12" s="434"/>
      <c r="B12" s="435"/>
      <c r="C12" s="22" t="s">
        <v>183</v>
      </c>
      <c r="D12" s="9">
        <v>2</v>
      </c>
      <c r="E12" s="7">
        <f>D12*D1/1000</f>
        <v>0</v>
      </c>
      <c r="F12" s="181" t="s">
        <v>110</v>
      </c>
      <c r="G12" s="229">
        <f>D12/5</f>
        <v>0.4</v>
      </c>
      <c r="H12" s="229">
        <f>0</f>
        <v>0</v>
      </c>
      <c r="I12" s="229">
        <f>G12*0</f>
        <v>0</v>
      </c>
      <c r="J12" s="229">
        <f>G12*5</f>
        <v>2</v>
      </c>
      <c r="K12" s="221">
        <f t="shared" ref="K12" si="1">H12*4+I12*4+J12*9</f>
        <v>18</v>
      </c>
    </row>
    <row r="13" spans="1:11">
      <c r="A13" s="434"/>
      <c r="B13" s="440" t="s">
        <v>250</v>
      </c>
      <c r="C13" s="14" t="s">
        <v>251</v>
      </c>
      <c r="D13" s="9" t="s">
        <v>60</v>
      </c>
      <c r="E13" s="7"/>
      <c r="F13" s="181" t="s">
        <v>88</v>
      </c>
      <c r="G13" s="229">
        <v>1</v>
      </c>
      <c r="H13" s="229">
        <v>2</v>
      </c>
      <c r="I13" s="229">
        <v>15</v>
      </c>
      <c r="J13" s="229">
        <v>0</v>
      </c>
      <c r="K13" s="221">
        <f t="shared" si="0"/>
        <v>68</v>
      </c>
    </row>
    <row r="14" spans="1:11">
      <c r="A14" s="434"/>
      <c r="B14" s="434"/>
      <c r="C14" s="22" t="s">
        <v>183</v>
      </c>
      <c r="D14" s="9">
        <v>3</v>
      </c>
      <c r="E14" s="7">
        <f>D14*D1/1000</f>
        <v>0</v>
      </c>
      <c r="F14" s="181" t="s">
        <v>110</v>
      </c>
      <c r="G14" s="229">
        <f>D14/5</f>
        <v>0.6</v>
      </c>
      <c r="H14" s="229">
        <f>0</f>
        <v>0</v>
      </c>
      <c r="I14" s="229">
        <f>G14*0</f>
        <v>0</v>
      </c>
      <c r="J14" s="229">
        <f>G14*5</f>
        <v>3</v>
      </c>
      <c r="K14" s="221">
        <f t="shared" si="0"/>
        <v>27</v>
      </c>
    </row>
    <row r="15" spans="1:11">
      <c r="A15" s="434"/>
      <c r="B15" s="434"/>
      <c r="C15" s="14" t="s">
        <v>252</v>
      </c>
      <c r="D15" s="31" t="s">
        <v>335</v>
      </c>
      <c r="E15" s="7"/>
      <c r="F15" s="40" t="s">
        <v>24</v>
      </c>
      <c r="G15" s="229"/>
      <c r="H15" s="229"/>
      <c r="I15" s="229"/>
      <c r="J15" s="229"/>
      <c r="K15" s="221">
        <f t="shared" si="0"/>
        <v>0</v>
      </c>
    </row>
    <row r="16" spans="1:11">
      <c r="A16" s="434"/>
      <c r="B16" s="440" t="s">
        <v>683</v>
      </c>
      <c r="C16" s="14" t="s">
        <v>52</v>
      </c>
      <c r="D16" s="58">
        <v>0.5</v>
      </c>
      <c r="E16" s="7">
        <f>D16*D4/1000</f>
        <v>0.01</v>
      </c>
      <c r="F16" s="160" t="s">
        <v>24</v>
      </c>
      <c r="G16" s="238"/>
      <c r="H16" s="229"/>
      <c r="I16" s="229"/>
      <c r="J16" s="229"/>
      <c r="K16" s="221">
        <f t="shared" si="0"/>
        <v>0</v>
      </c>
    </row>
    <row r="17" spans="1:11">
      <c r="A17" s="434"/>
      <c r="B17" s="434"/>
      <c r="C17" s="14" t="s">
        <v>684</v>
      </c>
      <c r="D17" s="31">
        <v>40</v>
      </c>
      <c r="E17" s="7">
        <f>D17*D4/1000</f>
        <v>0.8</v>
      </c>
      <c r="F17" s="181" t="s">
        <v>81</v>
      </c>
      <c r="G17" s="229">
        <f>D17/100</f>
        <v>0.4</v>
      </c>
      <c r="H17" s="221">
        <f>1*G17</f>
        <v>0.4</v>
      </c>
      <c r="I17" s="221">
        <f>G17*5</f>
        <v>2</v>
      </c>
      <c r="J17" s="221">
        <f>0</f>
        <v>0</v>
      </c>
      <c r="K17" s="221">
        <f t="shared" si="0"/>
        <v>9.6</v>
      </c>
    </row>
    <row r="18" spans="1:11">
      <c r="A18" s="434"/>
      <c r="B18" s="434"/>
      <c r="C18" s="22" t="s">
        <v>183</v>
      </c>
      <c r="D18" s="9">
        <v>2</v>
      </c>
      <c r="E18" s="7">
        <f>D18*D4/1000</f>
        <v>0.04</v>
      </c>
      <c r="F18" s="181" t="s">
        <v>110</v>
      </c>
      <c r="G18" s="229">
        <f>D18/5</f>
        <v>0.4</v>
      </c>
      <c r="H18" s="229">
        <f>0</f>
        <v>0</v>
      </c>
      <c r="I18" s="229">
        <f>G18*0</f>
        <v>0</v>
      </c>
      <c r="J18" s="229">
        <f>G18*5</f>
        <v>2</v>
      </c>
      <c r="K18" s="221">
        <f t="shared" si="0"/>
        <v>18</v>
      </c>
    </row>
    <row r="19" spans="1:11">
      <c r="A19" s="440" t="s">
        <v>2</v>
      </c>
      <c r="B19" s="440" t="s">
        <v>485</v>
      </c>
      <c r="C19" s="174" t="s">
        <v>235</v>
      </c>
      <c r="D19" s="9">
        <v>120</v>
      </c>
      <c r="E19" s="8"/>
      <c r="F19" s="75" t="s">
        <v>75</v>
      </c>
      <c r="G19" s="221">
        <f>D19/210</f>
        <v>0.5714285714285714</v>
      </c>
      <c r="H19" s="221">
        <f>G19*8</f>
        <v>4.5714285714285712</v>
      </c>
      <c r="I19" s="221">
        <f>G19*12</f>
        <v>6.8571428571428568</v>
      </c>
      <c r="J19" s="221">
        <f>G19*4</f>
        <v>2.2857142857142856</v>
      </c>
      <c r="K19" s="221">
        <f t="shared" si="0"/>
        <v>66.285714285714278</v>
      </c>
    </row>
    <row r="20" spans="1:11">
      <c r="A20" s="435"/>
      <c r="B20" s="435"/>
      <c r="C20" s="174" t="s">
        <v>478</v>
      </c>
      <c r="D20" s="6"/>
      <c r="E20" s="7"/>
      <c r="F20" s="175" t="s">
        <v>8</v>
      </c>
      <c r="G20" s="221">
        <v>1</v>
      </c>
      <c r="H20" s="221">
        <f>G20*0</f>
        <v>0</v>
      </c>
      <c r="I20" s="221">
        <f>G20*15</f>
        <v>15</v>
      </c>
      <c r="J20" s="221">
        <f>G20*0</f>
        <v>0</v>
      </c>
      <c r="K20" s="221">
        <f t="shared" si="0"/>
        <v>60</v>
      </c>
    </row>
    <row r="21" spans="1:11" ht="21">
      <c r="A21" s="487" t="s">
        <v>499</v>
      </c>
      <c r="B21" s="487"/>
      <c r="C21" s="234"/>
      <c r="D21" s="235"/>
      <c r="E21" s="235"/>
      <c r="F21" s="236"/>
      <c r="G21" s="236"/>
      <c r="H21" s="237">
        <f>SUM(H3:H20)</f>
        <v>27.014218232747645</v>
      </c>
      <c r="I21" s="237">
        <f>SUM(I3:I20)</f>
        <v>94.279201680672273</v>
      </c>
      <c r="J21" s="237">
        <f>SUM(J3:J20)</f>
        <v>22.489177489177486</v>
      </c>
      <c r="K21" s="237">
        <f>SUM(K3:K20)</f>
        <v>687.57627705627715</v>
      </c>
    </row>
    <row r="22" spans="1:11" ht="19.5">
      <c r="A22" s="461" t="s">
        <v>537</v>
      </c>
      <c r="B22" s="462"/>
      <c r="C22" s="261"/>
      <c r="D22" s="261"/>
      <c r="E22" s="261"/>
      <c r="F22" s="262"/>
      <c r="G22" s="262"/>
      <c r="H22" s="258">
        <f>+H21*4/K21</f>
        <v>0.15715619711839807</v>
      </c>
      <c r="I22" s="257">
        <f>+I21*4/K21</f>
        <v>0.54847268485940304</v>
      </c>
      <c r="J22" s="257">
        <f>+J21*9/K21</f>
        <v>0.29437111802219873</v>
      </c>
      <c r="K22" s="257">
        <f>+H22+I22+J22</f>
        <v>0.99999999999999989</v>
      </c>
    </row>
  </sheetData>
  <mergeCells count="11">
    <mergeCell ref="A22:B22"/>
    <mergeCell ref="F1:K1"/>
    <mergeCell ref="A3:A4"/>
    <mergeCell ref="A5:A18"/>
    <mergeCell ref="B16:B18"/>
    <mergeCell ref="B13:B15"/>
    <mergeCell ref="A21:B21"/>
    <mergeCell ref="B19:B20"/>
    <mergeCell ref="A19:A20"/>
    <mergeCell ref="B5:B12"/>
    <mergeCell ref="A1:B1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zoomScale="70" zoomScaleNormal="70" workbookViewId="0">
      <selection activeCell="C35" sqref="C35"/>
    </sheetView>
  </sheetViews>
  <sheetFormatPr defaultColWidth="9" defaultRowHeight="16.5"/>
  <cols>
    <col min="1" max="1" width="5.5" style="173" customWidth="1"/>
    <col min="2" max="2" width="11.5" style="173" customWidth="1"/>
    <col min="3" max="3" width="12.25" style="173" customWidth="1"/>
    <col min="4" max="4" width="6.375" style="173" customWidth="1"/>
    <col min="5" max="5" width="9.25" style="173" customWidth="1"/>
    <col min="6" max="6" width="5.5" style="80" customWidth="1"/>
    <col min="7" max="7" width="6.625" style="80" customWidth="1"/>
    <col min="8" max="8" width="10.875" style="80" customWidth="1"/>
    <col min="9" max="9" width="9" style="80"/>
    <col min="10" max="10" width="6.875" style="80" customWidth="1"/>
    <col min="11" max="11" width="8.375" style="80" customWidth="1"/>
    <col min="12" max="16384" width="9" style="173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23" t="s">
        <v>327</v>
      </c>
      <c r="B2" s="28" t="s">
        <v>17</v>
      </c>
      <c r="C2" s="2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175" t="s">
        <v>304</v>
      </c>
      <c r="J2" s="175" t="s">
        <v>305</v>
      </c>
      <c r="K2" s="175" t="s">
        <v>306</v>
      </c>
    </row>
    <row r="3" spans="1:11">
      <c r="A3" s="438" t="s">
        <v>0</v>
      </c>
      <c r="B3" s="52" t="s">
        <v>247</v>
      </c>
      <c r="C3" s="24" t="s">
        <v>248</v>
      </c>
      <c r="D3" s="54">
        <v>40</v>
      </c>
      <c r="E3" s="7">
        <f>D3*D1/1000</f>
        <v>0</v>
      </c>
      <c r="F3" s="37" t="s">
        <v>88</v>
      </c>
      <c r="G3" s="37">
        <v>0.5</v>
      </c>
      <c r="H3" s="37">
        <v>1</v>
      </c>
      <c r="I3" s="181">
        <v>7.5</v>
      </c>
      <c r="J3" s="181"/>
      <c r="K3" s="181">
        <v>35</v>
      </c>
    </row>
    <row r="4" spans="1:11">
      <c r="A4" s="455"/>
      <c r="B4" s="178" t="s">
        <v>501</v>
      </c>
      <c r="C4" s="49" t="s">
        <v>129</v>
      </c>
      <c r="D4" s="9">
        <v>120</v>
      </c>
      <c r="E4" s="7"/>
      <c r="F4" s="175" t="s">
        <v>75</v>
      </c>
      <c r="G4" s="175">
        <v>0.5</v>
      </c>
      <c r="H4" s="175">
        <v>4</v>
      </c>
      <c r="I4" s="175">
        <v>6</v>
      </c>
      <c r="J4" s="175">
        <v>2</v>
      </c>
      <c r="K4" s="175">
        <f t="shared" ref="K4" si="0">H4*4+I4*4+J4*9</f>
        <v>58</v>
      </c>
    </row>
    <row r="5" spans="1:11">
      <c r="A5" s="440" t="s">
        <v>1</v>
      </c>
      <c r="B5" s="440" t="s">
        <v>12</v>
      </c>
      <c r="C5" s="13" t="s">
        <v>26</v>
      </c>
      <c r="D5" s="10">
        <v>3</v>
      </c>
      <c r="E5" s="7">
        <f>D5*D1/1000</f>
        <v>0</v>
      </c>
      <c r="F5" s="175" t="s">
        <v>88</v>
      </c>
      <c r="G5" s="491">
        <v>2</v>
      </c>
      <c r="H5" s="491">
        <f>G5*2</f>
        <v>4</v>
      </c>
      <c r="I5" s="491">
        <f>G5*15</f>
        <v>30</v>
      </c>
      <c r="J5" s="491">
        <v>0</v>
      </c>
      <c r="K5" s="491">
        <f>H5*4+I5*4+J5*9</f>
        <v>136</v>
      </c>
    </row>
    <row r="6" spans="1:11">
      <c r="A6" s="434"/>
      <c r="B6" s="434"/>
      <c r="C6" s="14" t="s">
        <v>27</v>
      </c>
      <c r="D6" s="10">
        <v>2</v>
      </c>
      <c r="E6" s="7">
        <f>D6*D1/1000</f>
        <v>0</v>
      </c>
      <c r="F6" s="76" t="s">
        <v>88</v>
      </c>
      <c r="G6" s="493"/>
      <c r="H6" s="493"/>
      <c r="I6" s="493"/>
      <c r="J6" s="493"/>
      <c r="K6" s="493"/>
    </row>
    <row r="7" spans="1:11">
      <c r="A7" s="434"/>
      <c r="B7" s="435"/>
      <c r="C7" s="14" t="s">
        <v>28</v>
      </c>
      <c r="D7" s="10">
        <v>35</v>
      </c>
      <c r="E7" s="7">
        <f>D7*D1/1000</f>
        <v>0</v>
      </c>
      <c r="F7" s="175" t="s">
        <v>88</v>
      </c>
      <c r="G7" s="492"/>
      <c r="H7" s="492"/>
      <c r="I7" s="492"/>
      <c r="J7" s="492"/>
      <c r="K7" s="492"/>
    </row>
    <row r="8" spans="1:11">
      <c r="A8" s="434"/>
      <c r="B8" s="440" t="s">
        <v>101</v>
      </c>
      <c r="C8" s="13" t="s">
        <v>102</v>
      </c>
      <c r="D8" s="9">
        <v>40</v>
      </c>
      <c r="E8" s="8">
        <f>D8*D1/1000</f>
        <v>0</v>
      </c>
      <c r="F8" s="76" t="s">
        <v>112</v>
      </c>
      <c r="G8" s="225">
        <f>D8/30</f>
        <v>1.3333333333333333</v>
      </c>
      <c r="H8" s="221">
        <f>G8*7</f>
        <v>9.3333333333333321</v>
      </c>
      <c r="I8" s="221">
        <f>G8*0</f>
        <v>0</v>
      </c>
      <c r="J8" s="221">
        <f>G8*3</f>
        <v>4</v>
      </c>
      <c r="K8" s="221">
        <f t="shared" ref="K8:K35" si="1">H8*4+I8*4+J8*9</f>
        <v>73.333333333333329</v>
      </c>
    </row>
    <row r="9" spans="1:11">
      <c r="A9" s="434"/>
      <c r="B9" s="434"/>
      <c r="C9" s="14" t="s">
        <v>34</v>
      </c>
      <c r="D9" s="176">
        <v>1</v>
      </c>
      <c r="E9" s="7">
        <f>D9*D1/1000</f>
        <v>0</v>
      </c>
      <c r="F9" s="78" t="s">
        <v>81</v>
      </c>
      <c r="G9" s="175">
        <v>0.01</v>
      </c>
      <c r="H9" s="175">
        <f>1*G9</f>
        <v>0.01</v>
      </c>
      <c r="I9" s="175">
        <f>G9*5</f>
        <v>0.05</v>
      </c>
      <c r="J9" s="175">
        <f>0</f>
        <v>0</v>
      </c>
      <c r="K9" s="175">
        <f>H9*4+I9*4+J9*9</f>
        <v>0.24000000000000002</v>
      </c>
    </row>
    <row r="10" spans="1:11">
      <c r="A10" s="434"/>
      <c r="B10" s="434"/>
      <c r="C10" s="14" t="s">
        <v>72</v>
      </c>
      <c r="D10" s="176">
        <v>1</v>
      </c>
      <c r="E10" s="7">
        <f>D10*D1/1000</f>
        <v>0</v>
      </c>
      <c r="F10" s="78" t="s">
        <v>81</v>
      </c>
      <c r="G10" s="175">
        <v>0.01</v>
      </c>
      <c r="H10" s="175">
        <f>1*G10</f>
        <v>0.01</v>
      </c>
      <c r="I10" s="175">
        <f>G10*5</f>
        <v>0.05</v>
      </c>
      <c r="J10" s="175">
        <f>0</f>
        <v>0</v>
      </c>
      <c r="K10" s="175">
        <f t="shared" si="1"/>
        <v>0.24000000000000002</v>
      </c>
    </row>
    <row r="11" spans="1:11">
      <c r="A11" s="434"/>
      <c r="B11" s="434"/>
      <c r="C11" s="14" t="s">
        <v>87</v>
      </c>
      <c r="D11" s="9">
        <v>5</v>
      </c>
      <c r="E11" s="7">
        <f>D11*D1/1000</f>
        <v>0</v>
      </c>
      <c r="F11" s="77" t="s">
        <v>24</v>
      </c>
      <c r="G11" s="175">
        <v>5</v>
      </c>
      <c r="H11" s="175"/>
      <c r="I11" s="175">
        <v>5</v>
      </c>
      <c r="J11" s="175"/>
      <c r="K11" s="175">
        <f t="shared" si="1"/>
        <v>20</v>
      </c>
    </row>
    <row r="12" spans="1:11">
      <c r="A12" s="434"/>
      <c r="B12" s="435"/>
      <c r="C12" s="14" t="s">
        <v>64</v>
      </c>
      <c r="D12" s="9">
        <v>3</v>
      </c>
      <c r="E12" s="7">
        <f>D12*D1/1000</f>
        <v>0</v>
      </c>
      <c r="F12" s="78" t="s">
        <v>110</v>
      </c>
      <c r="G12" s="181">
        <f>D12/5</f>
        <v>0.6</v>
      </c>
      <c r="H12" s="181">
        <f>0</f>
        <v>0</v>
      </c>
      <c r="I12" s="181">
        <f>G12*0</f>
        <v>0</v>
      </c>
      <c r="J12" s="181">
        <f>G12*5</f>
        <v>3</v>
      </c>
      <c r="K12" s="175">
        <f t="shared" si="1"/>
        <v>27</v>
      </c>
    </row>
    <row r="13" spans="1:11">
      <c r="A13" s="434"/>
      <c r="B13" s="440" t="s">
        <v>103</v>
      </c>
      <c r="C13" s="14" t="s">
        <v>104</v>
      </c>
      <c r="D13" s="176">
        <v>50</v>
      </c>
      <c r="E13" s="8">
        <f>D13*D1/1000</f>
        <v>0</v>
      </c>
      <c r="F13" s="76" t="s">
        <v>81</v>
      </c>
      <c r="G13" s="76">
        <v>0.5</v>
      </c>
      <c r="H13" s="175">
        <f>1*G13</f>
        <v>0.5</v>
      </c>
      <c r="I13" s="175">
        <f>G13*5</f>
        <v>2.5</v>
      </c>
      <c r="J13" s="175">
        <f>0</f>
        <v>0</v>
      </c>
      <c r="K13" s="175">
        <f t="shared" si="1"/>
        <v>12</v>
      </c>
    </row>
    <row r="14" spans="1:11">
      <c r="A14" s="434"/>
      <c r="B14" s="434"/>
      <c r="C14" s="13" t="s">
        <v>80</v>
      </c>
      <c r="D14" s="10">
        <v>8</v>
      </c>
      <c r="E14" s="7">
        <f>D14*D1/1000</f>
        <v>0</v>
      </c>
      <c r="F14" s="175" t="s">
        <v>112</v>
      </c>
      <c r="G14" s="229">
        <f>D14/35</f>
        <v>0.22857142857142856</v>
      </c>
      <c r="H14" s="229">
        <f>G14*7</f>
        <v>1.5999999999999999</v>
      </c>
      <c r="I14" s="229">
        <f>G14*0</f>
        <v>0</v>
      </c>
      <c r="J14" s="229">
        <f>G14*5</f>
        <v>1.1428571428571428</v>
      </c>
      <c r="K14" s="221">
        <f>H14*4+I14*4+J14*9</f>
        <v>16.685714285714283</v>
      </c>
    </row>
    <row r="15" spans="1:11">
      <c r="A15" s="434"/>
      <c r="B15" s="434"/>
      <c r="C15" s="14" t="s">
        <v>52</v>
      </c>
      <c r="D15" s="176">
        <v>0.5</v>
      </c>
      <c r="E15" s="7">
        <f>D15*D1/1000</f>
        <v>0</v>
      </c>
      <c r="F15" s="77" t="s">
        <v>24</v>
      </c>
      <c r="G15" s="175"/>
      <c r="H15" s="175"/>
      <c r="I15" s="175"/>
      <c r="J15" s="175"/>
      <c r="K15" s="175"/>
    </row>
    <row r="16" spans="1:11">
      <c r="A16" s="434"/>
      <c r="B16" s="434"/>
      <c r="C16" s="14" t="s">
        <v>37</v>
      </c>
      <c r="D16" s="176">
        <v>0.5</v>
      </c>
      <c r="E16" s="7">
        <f>D16*D1/1000</f>
        <v>0</v>
      </c>
      <c r="F16" s="77" t="s">
        <v>24</v>
      </c>
      <c r="G16" s="175"/>
      <c r="H16" s="175"/>
      <c r="I16" s="175"/>
      <c r="J16" s="175"/>
      <c r="K16" s="175"/>
    </row>
    <row r="17" spans="1:11">
      <c r="A17" s="434"/>
      <c r="B17" s="434"/>
      <c r="C17" s="14" t="s">
        <v>32</v>
      </c>
      <c r="D17" s="176">
        <v>0.5</v>
      </c>
      <c r="E17" s="8">
        <f>D17*D1/1000</f>
        <v>0</v>
      </c>
      <c r="F17" s="77" t="s">
        <v>24</v>
      </c>
      <c r="G17" s="175"/>
      <c r="H17" s="175"/>
      <c r="I17" s="175"/>
      <c r="J17" s="175"/>
      <c r="K17" s="175"/>
    </row>
    <row r="18" spans="1:11">
      <c r="A18" s="434"/>
      <c r="B18" s="435"/>
      <c r="C18" s="14" t="s">
        <v>61</v>
      </c>
      <c r="D18" s="9">
        <v>5</v>
      </c>
      <c r="E18" s="7">
        <f>D18*D1/1000</f>
        <v>0</v>
      </c>
      <c r="F18" s="175" t="s">
        <v>110</v>
      </c>
      <c r="G18" s="181">
        <f>D18/5</f>
        <v>1</v>
      </c>
      <c r="H18" s="181">
        <f>0</f>
        <v>0</v>
      </c>
      <c r="I18" s="181">
        <f>G18*0</f>
        <v>0</v>
      </c>
      <c r="J18" s="181">
        <f>G18*5</f>
        <v>5</v>
      </c>
      <c r="K18" s="175">
        <f t="shared" si="1"/>
        <v>45</v>
      </c>
    </row>
    <row r="19" spans="1:11">
      <c r="A19" s="434"/>
      <c r="B19" s="440" t="s">
        <v>686</v>
      </c>
      <c r="C19" s="14" t="s">
        <v>71</v>
      </c>
      <c r="D19" s="176">
        <v>5</v>
      </c>
      <c r="E19" s="7">
        <f>D19*D1/1000</f>
        <v>0</v>
      </c>
      <c r="F19" s="491" t="s">
        <v>81</v>
      </c>
      <c r="G19" s="491">
        <v>0.4</v>
      </c>
      <c r="H19" s="175">
        <f>1*G19</f>
        <v>0.4</v>
      </c>
      <c r="I19" s="175">
        <f>G19*5</f>
        <v>2</v>
      </c>
      <c r="J19" s="175">
        <f>0</f>
        <v>0</v>
      </c>
      <c r="K19" s="491">
        <f t="shared" si="1"/>
        <v>9.6</v>
      </c>
    </row>
    <row r="20" spans="1:11">
      <c r="A20" s="434"/>
      <c r="B20" s="434"/>
      <c r="C20" s="14" t="s">
        <v>79</v>
      </c>
      <c r="D20" s="176">
        <v>35</v>
      </c>
      <c r="E20" s="7">
        <f>D20*D1/1000</f>
        <v>0</v>
      </c>
      <c r="F20" s="492"/>
      <c r="G20" s="492"/>
      <c r="H20" s="175">
        <f>1*G20</f>
        <v>0</v>
      </c>
      <c r="I20" s="175">
        <f>G20*5</f>
        <v>0</v>
      </c>
      <c r="J20" s="175">
        <f>0</f>
        <v>0</v>
      </c>
      <c r="K20" s="492"/>
    </row>
    <row r="21" spans="1:11">
      <c r="A21" s="434"/>
      <c r="B21" s="434"/>
      <c r="C21" s="14" t="s">
        <v>34</v>
      </c>
      <c r="D21" s="176">
        <v>0.5</v>
      </c>
      <c r="E21" s="7">
        <f>D21*D1/1000</f>
        <v>0</v>
      </c>
      <c r="F21" s="77" t="s">
        <v>24</v>
      </c>
      <c r="G21" s="175"/>
      <c r="H21" s="175"/>
      <c r="I21" s="175"/>
      <c r="J21" s="175"/>
      <c r="K21" s="175"/>
    </row>
    <row r="22" spans="1:11">
      <c r="A22" s="434"/>
      <c r="B22" s="435"/>
      <c r="C22" s="14" t="s">
        <v>61</v>
      </c>
      <c r="D22" s="9">
        <v>3</v>
      </c>
      <c r="E22" s="8">
        <f>D22*D1/1000</f>
        <v>0</v>
      </c>
      <c r="F22" s="175" t="s">
        <v>110</v>
      </c>
      <c r="G22" s="181">
        <f>D22/5</f>
        <v>0.6</v>
      </c>
      <c r="H22" s="181">
        <f>0</f>
        <v>0</v>
      </c>
      <c r="I22" s="181">
        <f>G22*0</f>
        <v>0</v>
      </c>
      <c r="J22" s="181">
        <f>G22*5</f>
        <v>3</v>
      </c>
      <c r="K22" s="175">
        <f>H22*4+I22*4+J22*9</f>
        <v>27</v>
      </c>
    </row>
    <row r="23" spans="1:11">
      <c r="A23" s="434"/>
      <c r="B23" s="447" t="s">
        <v>15</v>
      </c>
      <c r="C23" s="14" t="s">
        <v>105</v>
      </c>
      <c r="D23" s="9">
        <v>0.5</v>
      </c>
      <c r="E23" s="7">
        <f>D23*D1/1000</f>
        <v>0</v>
      </c>
      <c r="F23" s="175" t="s">
        <v>81</v>
      </c>
      <c r="G23" s="239">
        <v>0.1</v>
      </c>
      <c r="H23" s="239">
        <f>1*G23</f>
        <v>0.1</v>
      </c>
      <c r="I23" s="239">
        <f>G23*5</f>
        <v>0.5</v>
      </c>
      <c r="J23" s="239">
        <f>0</f>
        <v>0</v>
      </c>
      <c r="K23" s="239">
        <f t="shared" si="1"/>
        <v>2.4</v>
      </c>
    </row>
    <row r="24" spans="1:11">
      <c r="A24" s="434"/>
      <c r="B24" s="447"/>
      <c r="C24" s="14" t="s">
        <v>184</v>
      </c>
      <c r="D24" s="9">
        <v>10</v>
      </c>
      <c r="E24" s="7">
        <f>D24*D1/1000</f>
        <v>0</v>
      </c>
      <c r="F24" s="175" t="s">
        <v>112</v>
      </c>
      <c r="G24" s="239">
        <f>D24/55</f>
        <v>0.18181818181818182</v>
      </c>
      <c r="H24" s="239">
        <f>G24*7</f>
        <v>1.2727272727272727</v>
      </c>
      <c r="I24" s="239">
        <f>G24*0</f>
        <v>0</v>
      </c>
      <c r="J24" s="239">
        <f>G24*5</f>
        <v>0.90909090909090917</v>
      </c>
      <c r="K24" s="239">
        <f t="shared" si="1"/>
        <v>13.272727272727273</v>
      </c>
    </row>
    <row r="25" spans="1:11">
      <c r="A25" s="434"/>
      <c r="B25" s="447"/>
      <c r="C25" s="14" t="s">
        <v>23</v>
      </c>
      <c r="D25" s="176">
        <v>2</v>
      </c>
      <c r="E25" s="7">
        <f>D25*D1/1000</f>
        <v>0</v>
      </c>
      <c r="F25" s="77" t="s">
        <v>24</v>
      </c>
      <c r="G25" s="239"/>
      <c r="H25" s="239"/>
      <c r="I25" s="239"/>
      <c r="J25" s="239"/>
      <c r="K25" s="239"/>
    </row>
    <row r="26" spans="1:11">
      <c r="A26" s="434"/>
      <c r="B26" s="447"/>
      <c r="C26" s="14" t="s">
        <v>35</v>
      </c>
      <c r="D26" s="176">
        <v>0.5</v>
      </c>
      <c r="E26" s="8">
        <f>D26*D1/1000</f>
        <v>0</v>
      </c>
      <c r="F26" s="175" t="s">
        <v>81</v>
      </c>
      <c r="G26" s="239">
        <v>5.0000000000000001E-3</v>
      </c>
      <c r="H26" s="239">
        <f>1*G26</f>
        <v>5.0000000000000001E-3</v>
      </c>
      <c r="I26" s="239">
        <f>G26*5</f>
        <v>2.5000000000000001E-2</v>
      </c>
      <c r="J26" s="239">
        <f>0</f>
        <v>0</v>
      </c>
      <c r="K26" s="239">
        <f t="shared" si="1"/>
        <v>0.12000000000000001</v>
      </c>
    </row>
    <row r="27" spans="1:11">
      <c r="A27" s="434"/>
      <c r="B27" s="447"/>
      <c r="C27" s="14" t="s">
        <v>36</v>
      </c>
      <c r="D27" s="176">
        <v>1.5</v>
      </c>
      <c r="E27" s="7">
        <f>D27*D1/1000</f>
        <v>0</v>
      </c>
      <c r="F27" s="175" t="s">
        <v>81</v>
      </c>
      <c r="G27" s="239">
        <v>1.4999999999999999E-2</v>
      </c>
      <c r="H27" s="239">
        <f>1*G27</f>
        <v>1.4999999999999999E-2</v>
      </c>
      <c r="I27" s="239">
        <f>G27*5</f>
        <v>7.4999999999999997E-2</v>
      </c>
      <c r="J27" s="239">
        <f>0</f>
        <v>0</v>
      </c>
      <c r="K27" s="239">
        <f t="shared" si="1"/>
        <v>0.36</v>
      </c>
    </row>
    <row r="28" spans="1:11">
      <c r="A28" s="435"/>
      <c r="B28" s="447"/>
      <c r="C28" s="14" t="s">
        <v>37</v>
      </c>
      <c r="D28" s="176">
        <v>0.3</v>
      </c>
      <c r="E28" s="7">
        <f>D28*D1/1000</f>
        <v>0</v>
      </c>
      <c r="F28" s="175" t="s">
        <v>81</v>
      </c>
      <c r="G28" s="239">
        <v>3.0000000000000001E-3</v>
      </c>
      <c r="H28" s="239">
        <f>1*G28</f>
        <v>3.0000000000000001E-3</v>
      </c>
      <c r="I28" s="239">
        <f>G28*5</f>
        <v>1.4999999999999999E-2</v>
      </c>
      <c r="J28" s="239">
        <f>0</f>
        <v>0</v>
      </c>
      <c r="K28" s="239">
        <f t="shared" si="1"/>
        <v>7.1999999999999995E-2</v>
      </c>
    </row>
    <row r="29" spans="1:11">
      <c r="A29" s="440" t="s">
        <v>2</v>
      </c>
      <c r="B29" s="488" t="s">
        <v>164</v>
      </c>
      <c r="C29" s="14" t="s">
        <v>253</v>
      </c>
      <c r="D29" s="9">
        <v>8</v>
      </c>
      <c r="E29" s="7">
        <f>D29*D12/1000</f>
        <v>2.4E-2</v>
      </c>
      <c r="F29" s="181" t="s">
        <v>112</v>
      </c>
      <c r="G29" s="240">
        <v>0.25</v>
      </c>
      <c r="H29" s="239">
        <f>G29*7</f>
        <v>1.75</v>
      </c>
      <c r="I29" s="239">
        <f>G29*0</f>
        <v>0</v>
      </c>
      <c r="J29" s="239">
        <f>G29*5</f>
        <v>1.25</v>
      </c>
      <c r="K29" s="239">
        <f t="shared" si="1"/>
        <v>18.25</v>
      </c>
    </row>
    <row r="30" spans="1:11">
      <c r="A30" s="434"/>
      <c r="B30" s="489"/>
      <c r="C30" s="14" t="s">
        <v>254</v>
      </c>
      <c r="D30" s="58">
        <v>0.5</v>
      </c>
      <c r="E30" s="7">
        <f>D30*D12/1000</f>
        <v>1.5E-3</v>
      </c>
      <c r="F30" s="40" t="s">
        <v>24</v>
      </c>
      <c r="G30" s="240"/>
      <c r="H30" s="240"/>
      <c r="I30" s="240"/>
      <c r="J30" s="240"/>
      <c r="K30" s="240"/>
    </row>
    <row r="31" spans="1:11">
      <c r="A31" s="434"/>
      <c r="B31" s="489"/>
      <c r="C31" s="14" t="s">
        <v>255</v>
      </c>
      <c r="D31" s="58">
        <v>0.5</v>
      </c>
      <c r="E31" s="7">
        <f>D31*D12/1000</f>
        <v>1.5E-3</v>
      </c>
      <c r="F31" s="40" t="s">
        <v>24</v>
      </c>
      <c r="G31" s="240"/>
      <c r="H31" s="240"/>
      <c r="I31" s="240"/>
      <c r="J31" s="240"/>
      <c r="K31" s="240"/>
    </row>
    <row r="32" spans="1:11">
      <c r="A32" s="434"/>
      <c r="B32" s="489"/>
      <c r="C32" s="14" t="s">
        <v>22</v>
      </c>
      <c r="D32" s="58">
        <v>1</v>
      </c>
      <c r="E32" s="7">
        <f>D32*D12/1000</f>
        <v>3.0000000000000001E-3</v>
      </c>
      <c r="F32" s="40" t="s">
        <v>24</v>
      </c>
      <c r="G32" s="240"/>
      <c r="H32" s="240"/>
      <c r="I32" s="240"/>
      <c r="J32" s="240"/>
      <c r="K32" s="240"/>
    </row>
    <row r="33" spans="1:11">
      <c r="A33" s="434"/>
      <c r="B33" s="489"/>
      <c r="C33" s="14" t="s">
        <v>36</v>
      </c>
      <c r="D33" s="58">
        <v>2</v>
      </c>
      <c r="E33" s="7">
        <f>D33*D12/1000</f>
        <v>6.0000000000000001E-3</v>
      </c>
      <c r="F33" s="40" t="s">
        <v>24</v>
      </c>
      <c r="G33" s="240"/>
      <c r="H33" s="240"/>
      <c r="I33" s="240"/>
      <c r="J33" s="240"/>
      <c r="K33" s="240"/>
    </row>
    <row r="34" spans="1:11">
      <c r="A34" s="434"/>
      <c r="B34" s="490"/>
      <c r="C34" s="14" t="s">
        <v>256</v>
      </c>
      <c r="D34" s="9">
        <v>40</v>
      </c>
      <c r="E34" s="7">
        <f>D34*D12/1000</f>
        <v>0.12</v>
      </c>
      <c r="F34" s="181" t="s">
        <v>88</v>
      </c>
      <c r="G34" s="240">
        <f>D34/20</f>
        <v>2</v>
      </c>
      <c r="H34" s="240">
        <f>G34*2</f>
        <v>4</v>
      </c>
      <c r="I34" s="240">
        <f>G34*15</f>
        <v>30</v>
      </c>
      <c r="J34" s="240"/>
      <c r="K34" s="239">
        <f t="shared" si="1"/>
        <v>136</v>
      </c>
    </row>
    <row r="35" spans="1:11">
      <c r="A35" s="435"/>
      <c r="B35" s="174" t="s">
        <v>639</v>
      </c>
      <c r="C35" s="344" t="s">
        <v>811</v>
      </c>
      <c r="D35" s="176"/>
      <c r="E35" s="7"/>
      <c r="F35" s="175" t="s">
        <v>8</v>
      </c>
      <c r="G35" s="175">
        <v>1</v>
      </c>
      <c r="H35" s="175">
        <f>G35*0</f>
        <v>0</v>
      </c>
      <c r="I35" s="175">
        <f>G35*15</f>
        <v>15</v>
      </c>
      <c r="J35" s="175">
        <f>G35*0</f>
        <v>0</v>
      </c>
      <c r="K35" s="175">
        <f t="shared" si="1"/>
        <v>60</v>
      </c>
    </row>
    <row r="36" spans="1:11" ht="21">
      <c r="A36" s="487" t="s">
        <v>499</v>
      </c>
      <c r="B36" s="487"/>
      <c r="C36" s="234"/>
      <c r="D36" s="235"/>
      <c r="E36" s="235"/>
      <c r="F36" s="236"/>
      <c r="G36" s="236"/>
      <c r="H36" s="237">
        <f>SUM(H3:H35)</f>
        <v>27.99906060606061</v>
      </c>
      <c r="I36" s="237">
        <f>SUM(I3:I35)</f>
        <v>98.715000000000003</v>
      </c>
      <c r="J36" s="237">
        <f>SUM(J3:J35)</f>
        <v>20.301948051948052</v>
      </c>
      <c r="K36" s="237">
        <f>SUM(K3:K35)</f>
        <v>690.57377489177486</v>
      </c>
    </row>
    <row r="37" spans="1:11" ht="19.5">
      <c r="A37" s="461" t="s">
        <v>537</v>
      </c>
      <c r="B37" s="462"/>
      <c r="C37" s="261"/>
      <c r="D37" s="261"/>
      <c r="E37" s="261"/>
      <c r="F37" s="262"/>
      <c r="G37" s="262"/>
      <c r="H37" s="258">
        <f>+H36*4/K36</f>
        <v>0.1621785339905128</v>
      </c>
      <c r="I37" s="257">
        <f>+I36*4/K36</f>
        <v>0.57178539695035702</v>
      </c>
      <c r="J37" s="257">
        <f>+J36*9/K36</f>
        <v>0.26458799785173936</v>
      </c>
      <c r="K37" s="257">
        <f>+H37+I37+J37</f>
        <v>0.99855192879260923</v>
      </c>
    </row>
  </sheetData>
  <mergeCells count="21">
    <mergeCell ref="A37:B37"/>
    <mergeCell ref="F19:F20"/>
    <mergeCell ref="G19:G20"/>
    <mergeCell ref="K19:K20"/>
    <mergeCell ref="A1:B1"/>
    <mergeCell ref="F1:K1"/>
    <mergeCell ref="A3:A4"/>
    <mergeCell ref="A5:A28"/>
    <mergeCell ref="B5:B7"/>
    <mergeCell ref="G5:G7"/>
    <mergeCell ref="H5:H7"/>
    <mergeCell ref="I5:I7"/>
    <mergeCell ref="J5:J7"/>
    <mergeCell ref="K5:K7"/>
    <mergeCell ref="B23:B28"/>
    <mergeCell ref="A36:B36"/>
    <mergeCell ref="B29:B34"/>
    <mergeCell ref="A29:A35"/>
    <mergeCell ref="B8:B12"/>
    <mergeCell ref="B13:B18"/>
    <mergeCell ref="B19:B2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70" zoomScaleNormal="70" workbookViewId="0">
      <selection activeCell="C4" sqref="C4:K5"/>
    </sheetView>
  </sheetViews>
  <sheetFormatPr defaultRowHeight="16.5"/>
  <cols>
    <col min="1" max="1" width="5.5" customWidth="1"/>
    <col min="2" max="2" width="15.75" customWidth="1"/>
    <col min="3" max="3" width="12.25" customWidth="1"/>
    <col min="4" max="4" width="6.375" customWidth="1"/>
    <col min="5" max="5" width="9.375" customWidth="1"/>
    <col min="6" max="6" width="5.5" style="80" customWidth="1"/>
    <col min="7" max="7" width="6.625" style="80" customWidth="1"/>
    <col min="8" max="8" width="9.75" style="80" customWidth="1"/>
    <col min="9" max="9" width="8" style="80" customWidth="1"/>
    <col min="10" max="10" width="7.125" style="80" customWidth="1"/>
    <col min="11" max="11" width="8.375" style="80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45" t="s">
        <v>327</v>
      </c>
      <c r="B2" s="43" t="s">
        <v>17</v>
      </c>
      <c r="C2" s="24" t="s">
        <v>18</v>
      </c>
      <c r="D2" s="46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40" t="s">
        <v>0</v>
      </c>
      <c r="B3" s="52" t="s">
        <v>76</v>
      </c>
      <c r="C3" s="53" t="s">
        <v>76</v>
      </c>
      <c r="D3" s="54" t="s">
        <v>246</v>
      </c>
      <c r="E3" s="7"/>
      <c r="F3" s="90" t="s">
        <v>88</v>
      </c>
      <c r="G3" s="241">
        <v>1</v>
      </c>
      <c r="H3" s="242">
        <f>G3*2</f>
        <v>2</v>
      </c>
      <c r="I3" s="243">
        <f>G3*15</f>
        <v>15</v>
      </c>
      <c r="J3" s="244"/>
      <c r="K3" s="221">
        <f t="shared" ref="K3:K7" si="0">H3*4+I3*4+J3*9</f>
        <v>68</v>
      </c>
    </row>
    <row r="4" spans="1:11">
      <c r="A4" s="434"/>
      <c r="B4" s="440" t="s">
        <v>810</v>
      </c>
      <c r="C4" s="216" t="s">
        <v>624</v>
      </c>
      <c r="D4" s="176">
        <v>0</v>
      </c>
      <c r="E4" s="7"/>
      <c r="F4" s="175"/>
      <c r="G4" s="221"/>
      <c r="H4" s="221"/>
      <c r="I4" s="221"/>
      <c r="J4" s="221"/>
      <c r="K4" s="221"/>
    </row>
    <row r="5" spans="1:11" s="342" customFormat="1">
      <c r="A5" s="435"/>
      <c r="B5" s="435"/>
      <c r="C5" s="216" t="s">
        <v>504</v>
      </c>
      <c r="D5" s="349">
        <v>5</v>
      </c>
      <c r="E5" s="7">
        <f t="shared" ref="E5" si="1">D5*D$1/1000</f>
        <v>0</v>
      </c>
      <c r="F5" s="349"/>
      <c r="G5" s="294"/>
      <c r="H5" s="294"/>
      <c r="I5" s="294">
        <f>D5</f>
        <v>5</v>
      </c>
      <c r="J5" s="341"/>
      <c r="K5" s="294">
        <f>H5*4+I5*4+J5*9</f>
        <v>20</v>
      </c>
    </row>
    <row r="6" spans="1:11">
      <c r="A6" s="447" t="s">
        <v>1</v>
      </c>
      <c r="B6" s="20" t="s">
        <v>154</v>
      </c>
      <c r="C6" s="57" t="s">
        <v>28</v>
      </c>
      <c r="D6" s="58">
        <v>40</v>
      </c>
      <c r="E6" s="7">
        <f>D6*D1/1000</f>
        <v>0</v>
      </c>
      <c r="F6" s="90" t="s">
        <v>88</v>
      </c>
      <c r="G6" s="241">
        <v>2</v>
      </c>
      <c r="H6" s="242">
        <f>G6*2</f>
        <v>4</v>
      </c>
      <c r="I6" s="243">
        <f>G6*15</f>
        <v>30</v>
      </c>
      <c r="J6" s="244">
        <v>0</v>
      </c>
      <c r="K6" s="221">
        <f t="shared" si="0"/>
        <v>136</v>
      </c>
    </row>
    <row r="7" spans="1:11">
      <c r="A7" s="447"/>
      <c r="B7" s="463" t="s">
        <v>432</v>
      </c>
      <c r="C7" s="13" t="s">
        <v>433</v>
      </c>
      <c r="D7" s="47">
        <v>10</v>
      </c>
      <c r="E7" s="7">
        <f>D7*D1/1000</f>
        <v>0</v>
      </c>
      <c r="F7" s="75" t="s">
        <v>88</v>
      </c>
      <c r="G7" s="243">
        <f>D7/90</f>
        <v>0.1111111111111111</v>
      </c>
      <c r="H7" s="242">
        <f>G7*2</f>
        <v>0.22222222222222221</v>
      </c>
      <c r="I7" s="243">
        <f>G7*15</f>
        <v>1.6666666666666665</v>
      </c>
      <c r="J7" s="243">
        <v>0</v>
      </c>
      <c r="K7" s="221">
        <f t="shared" si="0"/>
        <v>7.5555555555555554</v>
      </c>
    </row>
    <row r="8" spans="1:11">
      <c r="A8" s="447"/>
      <c r="B8" s="463"/>
      <c r="C8" s="14" t="s">
        <v>224</v>
      </c>
      <c r="D8" s="47">
        <v>3</v>
      </c>
      <c r="E8" s="8">
        <f>D8*D1/1000</f>
        <v>0</v>
      </c>
      <c r="F8" s="106" t="s">
        <v>24</v>
      </c>
      <c r="G8" s="221"/>
      <c r="H8" s="221"/>
      <c r="I8" s="221"/>
      <c r="J8" s="221"/>
      <c r="K8" s="221"/>
    </row>
    <row r="9" spans="1:11">
      <c r="A9" s="447"/>
      <c r="B9" s="463"/>
      <c r="C9" s="14" t="s">
        <v>225</v>
      </c>
      <c r="D9" s="47">
        <v>0.5</v>
      </c>
      <c r="E9" s="7">
        <f>D9*D1/1000</f>
        <v>0</v>
      </c>
      <c r="F9" s="77" t="s">
        <v>24</v>
      </c>
      <c r="G9" s="221"/>
      <c r="H9" s="221"/>
      <c r="I9" s="221"/>
      <c r="J9" s="221"/>
      <c r="K9" s="221"/>
    </row>
    <row r="10" spans="1:11">
      <c r="A10" s="447"/>
      <c r="B10" s="463"/>
      <c r="C10" s="14" t="s">
        <v>226</v>
      </c>
      <c r="D10" s="47">
        <v>0.5</v>
      </c>
      <c r="E10" s="7">
        <f>D10*D1/1000</f>
        <v>0</v>
      </c>
      <c r="F10" s="77" t="s">
        <v>24</v>
      </c>
      <c r="G10" s="243"/>
      <c r="H10" s="221"/>
      <c r="I10" s="221"/>
      <c r="J10" s="221"/>
      <c r="K10" s="221"/>
    </row>
    <row r="11" spans="1:11">
      <c r="A11" s="447"/>
      <c r="B11" s="464"/>
      <c r="C11" s="14" t="s">
        <v>80</v>
      </c>
      <c r="D11" s="47">
        <v>35</v>
      </c>
      <c r="E11" s="7">
        <f>D11*D1/1000</f>
        <v>0</v>
      </c>
      <c r="F11" s="79" t="s">
        <v>112</v>
      </c>
      <c r="G11" s="243">
        <f>D11/35</f>
        <v>1</v>
      </c>
      <c r="H11" s="221">
        <f>G11*7</f>
        <v>7</v>
      </c>
      <c r="I11" s="221">
        <f>G11*0</f>
        <v>0</v>
      </c>
      <c r="J11" s="221">
        <f>G11*5</f>
        <v>5</v>
      </c>
      <c r="K11" s="221">
        <f t="shared" ref="K11:K28" si="2">H11*4+I11*4+J11*9</f>
        <v>73</v>
      </c>
    </row>
    <row r="12" spans="1:11">
      <c r="A12" s="447"/>
      <c r="B12" s="465" t="s">
        <v>539</v>
      </c>
      <c r="C12" s="13" t="s">
        <v>33</v>
      </c>
      <c r="D12" s="9">
        <v>10</v>
      </c>
      <c r="E12" s="7">
        <f>D12*D1/1000</f>
        <v>0</v>
      </c>
      <c r="F12" s="76" t="s">
        <v>81</v>
      </c>
      <c r="G12" s="245">
        <v>0.1</v>
      </c>
      <c r="H12" s="221">
        <f>1*G12</f>
        <v>0.1</v>
      </c>
      <c r="I12" s="221">
        <f>G12*5</f>
        <v>0.5</v>
      </c>
      <c r="J12" s="221">
        <f>0</f>
        <v>0</v>
      </c>
      <c r="K12" s="221">
        <f t="shared" si="2"/>
        <v>2.4</v>
      </c>
    </row>
    <row r="13" spans="1:11">
      <c r="A13" s="447"/>
      <c r="B13" s="463"/>
      <c r="C13" s="14" t="s">
        <v>225</v>
      </c>
      <c r="D13" s="31">
        <v>1</v>
      </c>
      <c r="E13" s="8">
        <f>D13*D1/1000</f>
        <v>0</v>
      </c>
      <c r="F13" s="99" t="s">
        <v>81</v>
      </c>
      <c r="G13" s="246"/>
      <c r="H13" s="246"/>
      <c r="I13" s="246"/>
      <c r="J13" s="246"/>
      <c r="K13" s="246"/>
    </row>
    <row r="14" spans="1:11">
      <c r="A14" s="447"/>
      <c r="B14" s="463"/>
      <c r="C14" s="14" t="s">
        <v>184</v>
      </c>
      <c r="D14" s="31">
        <v>45</v>
      </c>
      <c r="E14" s="7">
        <f>D14*D1/1000</f>
        <v>0</v>
      </c>
      <c r="F14" s="90" t="s">
        <v>112</v>
      </c>
      <c r="G14" s="247">
        <f>D14/55</f>
        <v>0.81818181818181823</v>
      </c>
      <c r="H14" s="221">
        <f>G14*7</f>
        <v>5.7272727272727275</v>
      </c>
      <c r="I14" s="221">
        <f>G14*0</f>
        <v>0</v>
      </c>
      <c r="J14" s="221">
        <f>G14*5</f>
        <v>4.0909090909090908</v>
      </c>
      <c r="K14" s="221">
        <f t="shared" si="2"/>
        <v>59.727272727272734</v>
      </c>
    </row>
    <row r="15" spans="1:11">
      <c r="A15" s="447"/>
      <c r="B15" s="463"/>
      <c r="C15" s="14" t="s">
        <v>183</v>
      </c>
      <c r="D15" s="31">
        <v>3</v>
      </c>
      <c r="E15" s="7">
        <f>D15*D1/1000</f>
        <v>0</v>
      </c>
      <c r="F15" s="76" t="s">
        <v>110</v>
      </c>
      <c r="G15" s="229">
        <f>D15/5</f>
        <v>0.6</v>
      </c>
      <c r="H15" s="229">
        <f>0</f>
        <v>0</v>
      </c>
      <c r="I15" s="229">
        <f>G15*0</f>
        <v>0</v>
      </c>
      <c r="J15" s="229">
        <f>G15*5</f>
        <v>3</v>
      </c>
      <c r="K15" s="221">
        <f t="shared" si="2"/>
        <v>27</v>
      </c>
    </row>
    <row r="16" spans="1:11">
      <c r="A16" s="447"/>
      <c r="B16" s="457" t="s">
        <v>687</v>
      </c>
      <c r="C16" s="14" t="s">
        <v>52</v>
      </c>
      <c r="D16" s="58">
        <v>0.5</v>
      </c>
      <c r="E16" s="7">
        <f>D16*D1/1000</f>
        <v>0</v>
      </c>
      <c r="F16" s="106" t="s">
        <v>24</v>
      </c>
      <c r="G16" s="225"/>
      <c r="H16" s="221"/>
      <c r="I16" s="221"/>
      <c r="J16" s="221"/>
      <c r="K16" s="221"/>
    </row>
    <row r="17" spans="1:11">
      <c r="A17" s="447"/>
      <c r="B17" s="457"/>
      <c r="C17" s="14" t="s">
        <v>676</v>
      </c>
      <c r="D17" s="31">
        <v>40</v>
      </c>
      <c r="E17" s="8">
        <f>D17*D1/1000</f>
        <v>0</v>
      </c>
      <c r="F17" s="75" t="s">
        <v>81</v>
      </c>
      <c r="G17" s="221">
        <f>D17/100</f>
        <v>0.4</v>
      </c>
      <c r="H17" s="221">
        <f>1*G17</f>
        <v>0.4</v>
      </c>
      <c r="I17" s="221">
        <f>G17*5</f>
        <v>2</v>
      </c>
      <c r="J17" s="221">
        <f>0</f>
        <v>0</v>
      </c>
      <c r="K17" s="221">
        <f t="shared" si="2"/>
        <v>9.6</v>
      </c>
    </row>
    <row r="18" spans="1:11">
      <c r="A18" s="447"/>
      <c r="B18" s="452"/>
      <c r="C18" s="59" t="s">
        <v>183</v>
      </c>
      <c r="D18" s="60">
        <v>3</v>
      </c>
      <c r="E18" s="7">
        <f>D18*D1/1000</f>
        <v>0</v>
      </c>
      <c r="F18" s="75" t="s">
        <v>110</v>
      </c>
      <c r="G18" s="229">
        <f>D18/5</f>
        <v>0.6</v>
      </c>
      <c r="H18" s="229">
        <f>0</f>
        <v>0</v>
      </c>
      <c r="I18" s="229">
        <f>G18*0</f>
        <v>0</v>
      </c>
      <c r="J18" s="229">
        <f>G18*5</f>
        <v>3</v>
      </c>
      <c r="K18" s="221">
        <f t="shared" si="2"/>
        <v>27</v>
      </c>
    </row>
    <row r="19" spans="1:11">
      <c r="A19" s="447"/>
      <c r="B19" s="458" t="s">
        <v>165</v>
      </c>
      <c r="C19" s="61" t="s">
        <v>258</v>
      </c>
      <c r="D19" s="60">
        <v>10</v>
      </c>
      <c r="E19" s="7">
        <f>D19*D1/1000</f>
        <v>0</v>
      </c>
      <c r="F19" s="75" t="s">
        <v>112</v>
      </c>
      <c r="G19" s="221">
        <v>0.16</v>
      </c>
      <c r="H19" s="221">
        <f>G19*7</f>
        <v>1.1200000000000001</v>
      </c>
      <c r="I19" s="221">
        <f>G19*0</f>
        <v>0</v>
      </c>
      <c r="J19" s="221">
        <f>G19*5</f>
        <v>0.8</v>
      </c>
      <c r="K19" s="221">
        <f t="shared" si="2"/>
        <v>11.68</v>
      </c>
    </row>
    <row r="20" spans="1:11">
      <c r="A20" s="447"/>
      <c r="B20" s="460"/>
      <c r="C20" s="61" t="s">
        <v>59</v>
      </c>
      <c r="D20" s="62">
        <v>1</v>
      </c>
      <c r="E20" s="7">
        <f>D20*D1/1000</f>
        <v>0</v>
      </c>
      <c r="F20" s="77" t="s">
        <v>24</v>
      </c>
      <c r="G20" s="221"/>
      <c r="H20" s="221"/>
      <c r="I20" s="221"/>
      <c r="J20" s="221"/>
      <c r="K20" s="221"/>
    </row>
    <row r="21" spans="1:11">
      <c r="A21" s="447" t="s">
        <v>2</v>
      </c>
      <c r="B21" s="488" t="s">
        <v>259</v>
      </c>
      <c r="C21" s="49" t="s">
        <v>197</v>
      </c>
      <c r="D21" s="58">
        <v>35</v>
      </c>
      <c r="E21" s="7">
        <f>D21*D1/1000</f>
        <v>0</v>
      </c>
      <c r="F21" s="75" t="s">
        <v>88</v>
      </c>
      <c r="G21" s="221">
        <f>D21/85</f>
        <v>0.41176470588235292</v>
      </c>
      <c r="H21" s="221">
        <f>G21*2</f>
        <v>0.82352941176470584</v>
      </c>
      <c r="I21" s="221">
        <f>G21*15</f>
        <v>6.1764705882352935</v>
      </c>
      <c r="J21" s="221"/>
      <c r="K21" s="221">
        <f t="shared" si="2"/>
        <v>27.999999999999996</v>
      </c>
    </row>
    <row r="22" spans="1:11">
      <c r="A22" s="447"/>
      <c r="B22" s="489"/>
      <c r="C22" s="49" t="s">
        <v>260</v>
      </c>
      <c r="D22" s="58">
        <v>10</v>
      </c>
      <c r="E22" s="8">
        <f>D22*D1/1000</f>
        <v>0</v>
      </c>
      <c r="F22" s="75" t="s">
        <v>88</v>
      </c>
      <c r="G22" s="221">
        <f>D22/20</f>
        <v>0.5</v>
      </c>
      <c r="H22" s="221">
        <f>G22*2</f>
        <v>1</v>
      </c>
      <c r="I22" s="221">
        <f>G22*15</f>
        <v>7.5</v>
      </c>
      <c r="J22" s="221"/>
      <c r="K22" s="221">
        <f t="shared" si="2"/>
        <v>34</v>
      </c>
    </row>
    <row r="23" spans="1:11">
      <c r="A23" s="447"/>
      <c r="B23" s="489"/>
      <c r="C23" s="49" t="s">
        <v>185</v>
      </c>
      <c r="D23" s="58">
        <v>5</v>
      </c>
      <c r="E23" s="7">
        <f>D23*D1/1000</f>
        <v>0</v>
      </c>
      <c r="F23" s="77" t="s">
        <v>24</v>
      </c>
      <c r="G23" s="221"/>
      <c r="H23" s="221"/>
      <c r="I23" s="221">
        <v>5</v>
      </c>
      <c r="J23" s="221"/>
      <c r="K23" s="221">
        <f t="shared" si="2"/>
        <v>20</v>
      </c>
    </row>
    <row r="24" spans="1:11" s="182" customFormat="1">
      <c r="A24" s="447"/>
      <c r="B24" s="490"/>
      <c r="C24" s="59" t="s">
        <v>183</v>
      </c>
      <c r="D24" s="191">
        <v>3</v>
      </c>
      <c r="E24" s="7">
        <f>D24*D1/1000</f>
        <v>0</v>
      </c>
      <c r="F24" s="186" t="s">
        <v>110</v>
      </c>
      <c r="G24" s="229">
        <f>D24/5</f>
        <v>0.6</v>
      </c>
      <c r="H24" s="229">
        <f>0</f>
        <v>0</v>
      </c>
      <c r="I24" s="229">
        <f>G24*0</f>
        <v>0</v>
      </c>
      <c r="J24" s="229">
        <f>G24*5</f>
        <v>3</v>
      </c>
      <c r="K24" s="221">
        <f t="shared" ref="K24:K25" si="3">H24*4+I24*4+J24*9</f>
        <v>27</v>
      </c>
    </row>
    <row r="25" spans="1:11">
      <c r="A25" s="447"/>
      <c r="B25" s="440" t="s">
        <v>813</v>
      </c>
      <c r="C25" s="49" t="s">
        <v>812</v>
      </c>
      <c r="D25" s="58"/>
      <c r="E25" s="7">
        <f>D25*D1/1000</f>
        <v>0</v>
      </c>
      <c r="F25" s="346" t="s">
        <v>8</v>
      </c>
      <c r="G25" s="221">
        <v>1</v>
      </c>
      <c r="H25" s="221">
        <f>G25*0</f>
        <v>0</v>
      </c>
      <c r="I25" s="221">
        <f>G25*15</f>
        <v>15</v>
      </c>
      <c r="J25" s="221">
        <f>G25*0</f>
        <v>0</v>
      </c>
      <c r="K25" s="221">
        <f t="shared" si="3"/>
        <v>60</v>
      </c>
    </row>
    <row r="26" spans="1:11">
      <c r="A26" s="447"/>
      <c r="B26" s="434"/>
      <c r="C26" s="49" t="s">
        <v>262</v>
      </c>
      <c r="D26" s="58">
        <v>15</v>
      </c>
      <c r="E26" s="7">
        <f>D26*D1/1000</f>
        <v>0</v>
      </c>
      <c r="F26" s="75" t="s">
        <v>88</v>
      </c>
      <c r="G26" s="221">
        <f>D26/30</f>
        <v>0.5</v>
      </c>
      <c r="H26" s="221">
        <f>G26*2</f>
        <v>1</v>
      </c>
      <c r="I26" s="221">
        <f>G26*15</f>
        <v>7.5</v>
      </c>
      <c r="J26" s="221"/>
      <c r="K26" s="221">
        <f t="shared" si="2"/>
        <v>34</v>
      </c>
    </row>
    <row r="27" spans="1:11">
      <c r="A27" s="447"/>
      <c r="B27" s="434"/>
      <c r="C27" s="129" t="s">
        <v>263</v>
      </c>
      <c r="D27" s="58">
        <v>5</v>
      </c>
      <c r="E27" s="8">
        <f>D27*D1/1000</f>
        <v>0</v>
      </c>
      <c r="F27" s="77" t="s">
        <v>24</v>
      </c>
      <c r="G27" s="221"/>
      <c r="H27" s="221"/>
      <c r="I27" s="221">
        <v>5</v>
      </c>
      <c r="J27" s="221">
        <v>0</v>
      </c>
      <c r="K27" s="221">
        <f t="shared" si="2"/>
        <v>20</v>
      </c>
    </row>
    <row r="28" spans="1:11">
      <c r="A28" s="447"/>
      <c r="B28" s="435"/>
      <c r="C28" s="129" t="s">
        <v>527</v>
      </c>
      <c r="D28" s="58">
        <v>120</v>
      </c>
      <c r="E28" s="7">
        <f>D28*D1/1000</f>
        <v>0</v>
      </c>
      <c r="F28" s="75" t="s">
        <v>75</v>
      </c>
      <c r="G28" s="221">
        <f>D28/240</f>
        <v>0.5</v>
      </c>
      <c r="H28" s="221">
        <f>G28*8</f>
        <v>4</v>
      </c>
      <c r="I28" s="221">
        <f>G28*12</f>
        <v>6</v>
      </c>
      <c r="J28" s="221">
        <f>G28*4</f>
        <v>2</v>
      </c>
      <c r="K28" s="221">
        <f t="shared" si="2"/>
        <v>58</v>
      </c>
    </row>
    <row r="29" spans="1:11" ht="21">
      <c r="A29" s="487" t="s">
        <v>499</v>
      </c>
      <c r="B29" s="487"/>
      <c r="C29" s="234"/>
      <c r="D29" s="235"/>
      <c r="E29" s="235"/>
      <c r="F29" s="236"/>
      <c r="G29" s="236"/>
      <c r="H29" s="211">
        <f>SUM(H3:H28)</f>
        <v>27.393024361259656</v>
      </c>
      <c r="I29" s="211">
        <f>SUM(I3:I28)</f>
        <v>106.34313725490196</v>
      </c>
      <c r="J29" s="211">
        <f>SUM(J3:J28)</f>
        <v>20.890909090909091</v>
      </c>
      <c r="K29" s="211">
        <f>SUM(K3:K28)</f>
        <v>722.96282828282824</v>
      </c>
    </row>
    <row r="30" spans="1:11" ht="19.5">
      <c r="A30" s="461" t="s">
        <v>537</v>
      </c>
      <c r="B30" s="462"/>
      <c r="C30" s="261"/>
      <c r="D30" s="261"/>
      <c r="E30" s="261"/>
      <c r="F30" s="262"/>
      <c r="G30" s="262"/>
      <c r="H30" s="258">
        <f>+H29*4/K29</f>
        <v>0.15155979416713972</v>
      </c>
      <c r="I30" s="257">
        <f>+I29*4/K29</f>
        <v>0.58837402474750622</v>
      </c>
      <c r="J30" s="257">
        <f>+J29*9/K29</f>
        <v>0.26006618108535412</v>
      </c>
      <c r="K30" s="257">
        <f>+H30+I30+J30</f>
        <v>1</v>
      </c>
    </row>
  </sheetData>
  <mergeCells count="14">
    <mergeCell ref="A30:B30"/>
    <mergeCell ref="B21:B24"/>
    <mergeCell ref="F1:K1"/>
    <mergeCell ref="B7:B11"/>
    <mergeCell ref="B12:B15"/>
    <mergeCell ref="A6:A20"/>
    <mergeCell ref="B19:B20"/>
    <mergeCell ref="A1:B1"/>
    <mergeCell ref="A29:B29"/>
    <mergeCell ref="B25:B28"/>
    <mergeCell ref="B16:B18"/>
    <mergeCell ref="A21:A28"/>
    <mergeCell ref="A3:A5"/>
    <mergeCell ref="B4:B5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5"/>
  <sheetViews>
    <sheetView zoomScale="70" zoomScaleNormal="70" workbookViewId="0">
      <selection activeCell="N21" sqref="N21"/>
    </sheetView>
  </sheetViews>
  <sheetFormatPr defaultRowHeight="16.5"/>
  <cols>
    <col min="1" max="1" width="5.5" customWidth="1"/>
    <col min="2" max="2" width="11.5" customWidth="1"/>
    <col min="3" max="3" width="12.25" customWidth="1"/>
    <col min="4" max="4" width="6.375" customWidth="1"/>
    <col min="5" max="5" width="8.5" customWidth="1"/>
    <col min="6" max="6" width="5.5" style="80" customWidth="1"/>
    <col min="7" max="7" width="6.625" style="80" customWidth="1"/>
    <col min="8" max="8" width="10" style="80" customWidth="1"/>
    <col min="9" max="9" width="9" style="80"/>
    <col min="10" max="10" width="7.5" style="80" customWidth="1"/>
    <col min="11" max="11" width="8.375" style="80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23" t="s">
        <v>327</v>
      </c>
      <c r="B2" s="28" t="s">
        <v>17</v>
      </c>
      <c r="C2" s="2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38" t="s">
        <v>0</v>
      </c>
      <c r="B3" s="441" t="s">
        <v>62</v>
      </c>
      <c r="C3" s="12" t="s">
        <v>63</v>
      </c>
      <c r="D3" s="6">
        <v>40</v>
      </c>
      <c r="E3" s="7">
        <f>D3*D1/1000</f>
        <v>0</v>
      </c>
      <c r="F3" s="76" t="s">
        <v>81</v>
      </c>
      <c r="G3" s="225">
        <v>0.4</v>
      </c>
      <c r="H3" s="221">
        <f>1*G3</f>
        <v>0.4</v>
      </c>
      <c r="I3" s="221">
        <f>G3*0.5</f>
        <v>0.2</v>
      </c>
      <c r="J3" s="221">
        <f>0</f>
        <v>0</v>
      </c>
      <c r="K3" s="221">
        <f t="shared" ref="K3:K8" si="0">H3*4+I3*4+J3*9</f>
        <v>2.4000000000000004</v>
      </c>
    </row>
    <row r="4" spans="1:11">
      <c r="A4" s="439"/>
      <c r="B4" s="442"/>
      <c r="C4" s="12" t="s">
        <v>59</v>
      </c>
      <c r="D4" s="6">
        <v>3</v>
      </c>
      <c r="E4" s="7">
        <f>D4*D1/1000</f>
        <v>0</v>
      </c>
      <c r="F4" s="78" t="s">
        <v>81</v>
      </c>
      <c r="G4" s="251">
        <v>0.03</v>
      </c>
      <c r="H4" s="221">
        <f>1*G4</f>
        <v>0.03</v>
      </c>
      <c r="I4" s="221">
        <f>G4*5</f>
        <v>0.15</v>
      </c>
      <c r="J4" s="221">
        <f>0</f>
        <v>0</v>
      </c>
      <c r="K4" s="221">
        <f t="shared" si="0"/>
        <v>0.72</v>
      </c>
    </row>
    <row r="5" spans="1:11">
      <c r="A5" s="439"/>
      <c r="B5" s="442"/>
      <c r="C5" s="12" t="s">
        <v>530</v>
      </c>
      <c r="D5" s="6">
        <v>15</v>
      </c>
      <c r="E5" s="7">
        <f>D5*D1/1000</f>
        <v>0</v>
      </c>
      <c r="F5" s="78" t="s">
        <v>88</v>
      </c>
      <c r="G5" s="251">
        <f>D5/25</f>
        <v>0.6</v>
      </c>
      <c r="H5" s="221">
        <f>G5*2</f>
        <v>1.2</v>
      </c>
      <c r="I5" s="221">
        <f>G5*15</f>
        <v>9</v>
      </c>
      <c r="J5" s="221">
        <f>G5*0</f>
        <v>0</v>
      </c>
      <c r="K5" s="221">
        <f t="shared" si="0"/>
        <v>40.799999999999997</v>
      </c>
    </row>
    <row r="6" spans="1:11">
      <c r="A6" s="439"/>
      <c r="B6" s="442"/>
      <c r="C6" s="13" t="s">
        <v>64</v>
      </c>
      <c r="D6" s="6">
        <v>2</v>
      </c>
      <c r="E6" s="7">
        <f>D6*D1/1000</f>
        <v>0</v>
      </c>
      <c r="F6" s="78" t="s">
        <v>110</v>
      </c>
      <c r="G6" s="229">
        <f>D6/5</f>
        <v>0.4</v>
      </c>
      <c r="H6" s="229">
        <f>0</f>
        <v>0</v>
      </c>
      <c r="I6" s="229">
        <f>G6*0</f>
        <v>0</v>
      </c>
      <c r="J6" s="229">
        <f>G6*5</f>
        <v>2</v>
      </c>
      <c r="K6" s="221">
        <f t="shared" si="0"/>
        <v>18</v>
      </c>
    </row>
    <row r="7" spans="1:11">
      <c r="A7" s="439"/>
      <c r="B7" s="442"/>
      <c r="C7" s="13" t="s">
        <v>22</v>
      </c>
      <c r="D7" s="6">
        <v>2</v>
      </c>
      <c r="E7" s="8">
        <f>D7*D1/1000</f>
        <v>0</v>
      </c>
      <c r="F7" s="76" t="s">
        <v>81</v>
      </c>
      <c r="G7" s="225">
        <v>0.02</v>
      </c>
      <c r="H7" s="221">
        <f>1*G7</f>
        <v>0.02</v>
      </c>
      <c r="I7" s="221">
        <f>G7*5</f>
        <v>0.1</v>
      </c>
      <c r="J7" s="221">
        <f>0</f>
        <v>0</v>
      </c>
      <c r="K7" s="221">
        <f t="shared" si="0"/>
        <v>0.48000000000000004</v>
      </c>
    </row>
    <row r="8" spans="1:11">
      <c r="A8" s="440" t="s">
        <v>1</v>
      </c>
      <c r="B8" s="440" t="s">
        <v>528</v>
      </c>
      <c r="C8" s="14" t="s">
        <v>529</v>
      </c>
      <c r="D8" s="10">
        <v>5</v>
      </c>
      <c r="E8" s="7">
        <f>D8*D1/1000</f>
        <v>0</v>
      </c>
      <c r="F8" s="75" t="s">
        <v>88</v>
      </c>
      <c r="G8" s="479">
        <v>2</v>
      </c>
      <c r="H8" s="479">
        <f>G8*2</f>
        <v>4</v>
      </c>
      <c r="I8" s="479">
        <f>G8*15</f>
        <v>30</v>
      </c>
      <c r="J8" s="479">
        <v>0</v>
      </c>
      <c r="K8" s="479">
        <f t="shared" si="0"/>
        <v>136</v>
      </c>
    </row>
    <row r="9" spans="1:11">
      <c r="A9" s="434"/>
      <c r="B9" s="435"/>
      <c r="C9" s="14" t="s">
        <v>28</v>
      </c>
      <c r="D9" s="10">
        <v>35</v>
      </c>
      <c r="E9" s="7">
        <f>D9*D1/1000</f>
        <v>0</v>
      </c>
      <c r="F9" s="75" t="s">
        <v>88</v>
      </c>
      <c r="G9" s="480"/>
      <c r="H9" s="480"/>
      <c r="I9" s="480"/>
      <c r="J9" s="480"/>
      <c r="K9" s="480"/>
    </row>
    <row r="10" spans="1:11">
      <c r="A10" s="434"/>
      <c r="B10" s="440" t="s">
        <v>65</v>
      </c>
      <c r="C10" s="13" t="s">
        <v>66</v>
      </c>
      <c r="D10" s="6">
        <v>30</v>
      </c>
      <c r="E10" s="7">
        <f>D10*D1/1000</f>
        <v>0</v>
      </c>
      <c r="F10" s="76" t="s">
        <v>112</v>
      </c>
      <c r="G10" s="225">
        <f>D10/35</f>
        <v>0.8571428571428571</v>
      </c>
      <c r="H10" s="221">
        <f>G10*7</f>
        <v>6</v>
      </c>
      <c r="I10" s="221">
        <f>G10*0</f>
        <v>0</v>
      </c>
      <c r="J10" s="221">
        <f>G10*3</f>
        <v>2.5714285714285712</v>
      </c>
      <c r="K10" s="221">
        <f t="shared" ref="K10:K34" si="1">H10*4+I10*4+J10*9</f>
        <v>47.142857142857139</v>
      </c>
    </row>
    <row r="11" spans="1:11">
      <c r="A11" s="434"/>
      <c r="B11" s="434"/>
      <c r="C11" s="14" t="s">
        <v>67</v>
      </c>
      <c r="D11" s="6">
        <v>10</v>
      </c>
      <c r="E11" s="8">
        <f>D11*D1/1000</f>
        <v>0</v>
      </c>
      <c r="F11" s="76" t="s">
        <v>81</v>
      </c>
      <c r="G11" s="225">
        <f>D11/100</f>
        <v>0.1</v>
      </c>
      <c r="H11" s="221">
        <f>1*G11</f>
        <v>0.1</v>
      </c>
      <c r="I11" s="221">
        <f>G11*5</f>
        <v>0.5</v>
      </c>
      <c r="J11" s="221">
        <f>0</f>
        <v>0</v>
      </c>
      <c r="K11" s="221">
        <f t="shared" si="1"/>
        <v>2.4</v>
      </c>
    </row>
    <row r="12" spans="1:11">
      <c r="A12" s="434"/>
      <c r="B12" s="434"/>
      <c r="C12" s="14" t="s">
        <v>68</v>
      </c>
      <c r="D12" s="6">
        <v>2</v>
      </c>
      <c r="E12" s="7">
        <f>D12*D1/1000</f>
        <v>0</v>
      </c>
      <c r="F12" s="76" t="s">
        <v>81</v>
      </c>
      <c r="G12" s="225">
        <f>D12/100</f>
        <v>0.02</v>
      </c>
      <c r="H12" s="221">
        <f>1*G12</f>
        <v>0.02</v>
      </c>
      <c r="I12" s="221">
        <f>G12*5</f>
        <v>0.1</v>
      </c>
      <c r="J12" s="221">
        <f>0</f>
        <v>0</v>
      </c>
      <c r="K12" s="221">
        <f>H12*4+I12*4+J12*9</f>
        <v>0.48000000000000004</v>
      </c>
    </row>
    <row r="13" spans="1:11">
      <c r="A13" s="434"/>
      <c r="B13" s="434"/>
      <c r="C13" s="14" t="s">
        <v>52</v>
      </c>
      <c r="D13" s="6">
        <v>0.5</v>
      </c>
      <c r="E13" s="7">
        <f>D13*D1/1000</f>
        <v>0</v>
      </c>
      <c r="F13" s="77" t="s">
        <v>24</v>
      </c>
      <c r="G13" s="221"/>
      <c r="H13" s="221"/>
      <c r="I13" s="221"/>
      <c r="J13" s="221"/>
      <c r="K13" s="221"/>
    </row>
    <row r="14" spans="1:11">
      <c r="A14" s="434"/>
      <c r="B14" s="434"/>
      <c r="C14" s="14" t="s">
        <v>77</v>
      </c>
      <c r="D14" s="6">
        <v>6</v>
      </c>
      <c r="E14" s="7">
        <f>D14*D1/1000</f>
        <v>0</v>
      </c>
      <c r="F14" s="77" t="s">
        <v>24</v>
      </c>
      <c r="G14" s="221">
        <v>0</v>
      </c>
      <c r="H14" s="221">
        <v>0</v>
      </c>
      <c r="I14" s="221">
        <v>6</v>
      </c>
      <c r="J14" s="221">
        <v>0</v>
      </c>
      <c r="K14" s="221">
        <f t="shared" si="1"/>
        <v>24</v>
      </c>
    </row>
    <row r="15" spans="1:11">
      <c r="A15" s="434"/>
      <c r="B15" s="435"/>
      <c r="C15" s="14" t="s">
        <v>61</v>
      </c>
      <c r="D15" s="6">
        <v>3</v>
      </c>
      <c r="E15" s="8">
        <f>D15*D1/1000</f>
        <v>0</v>
      </c>
      <c r="F15" s="78" t="s">
        <v>110</v>
      </c>
      <c r="G15" s="229">
        <f>D15/5</f>
        <v>0.6</v>
      </c>
      <c r="H15" s="229">
        <f>0</f>
        <v>0</v>
      </c>
      <c r="I15" s="229">
        <f>G15*0</f>
        <v>0</v>
      </c>
      <c r="J15" s="229">
        <f>G15*5</f>
        <v>3</v>
      </c>
      <c r="K15" s="221">
        <f t="shared" si="1"/>
        <v>27</v>
      </c>
    </row>
    <row r="16" spans="1:11">
      <c r="A16" s="434"/>
      <c r="B16" s="447" t="s">
        <v>69</v>
      </c>
      <c r="C16" s="14" t="s">
        <v>70</v>
      </c>
      <c r="D16" s="6">
        <v>30</v>
      </c>
      <c r="E16" s="7">
        <f>D16*D1/1000</f>
        <v>0</v>
      </c>
      <c r="F16" s="76" t="s">
        <v>81</v>
      </c>
      <c r="G16" s="225">
        <f>D16/100</f>
        <v>0.3</v>
      </c>
      <c r="H16" s="221">
        <f>1*G16</f>
        <v>0.3</v>
      </c>
      <c r="I16" s="221">
        <f>G16*5</f>
        <v>1.5</v>
      </c>
      <c r="J16" s="221">
        <f>0</f>
        <v>0</v>
      </c>
      <c r="K16" s="221">
        <f t="shared" si="1"/>
        <v>7.2</v>
      </c>
    </row>
    <row r="17" spans="1:11">
      <c r="A17" s="434"/>
      <c r="B17" s="447"/>
      <c r="C17" s="14" t="s">
        <v>30</v>
      </c>
      <c r="D17" s="6">
        <v>20</v>
      </c>
      <c r="E17" s="7">
        <f>D17*D1/1000</f>
        <v>0</v>
      </c>
      <c r="F17" s="75" t="s">
        <v>112</v>
      </c>
      <c r="G17" s="221">
        <f>D17/30</f>
        <v>0.66666666666666663</v>
      </c>
      <c r="H17" s="221">
        <f>G17*7</f>
        <v>4.6666666666666661</v>
      </c>
      <c r="I17" s="221">
        <f>G17*0</f>
        <v>0</v>
      </c>
      <c r="J17" s="221">
        <f>G17*3</f>
        <v>2</v>
      </c>
      <c r="K17" s="221">
        <f t="shared" si="1"/>
        <v>36.666666666666664</v>
      </c>
    </row>
    <row r="18" spans="1:11">
      <c r="A18" s="434"/>
      <c r="B18" s="447"/>
      <c r="C18" s="14" t="s">
        <v>59</v>
      </c>
      <c r="D18" s="6">
        <v>0.3</v>
      </c>
      <c r="E18" s="7">
        <f>D18*D1/1000</f>
        <v>0</v>
      </c>
      <c r="F18" s="77" t="s">
        <v>24</v>
      </c>
      <c r="G18" s="225"/>
      <c r="H18" s="221"/>
      <c r="I18" s="221"/>
      <c r="J18" s="221"/>
      <c r="K18" s="221">
        <f t="shared" si="1"/>
        <v>0</v>
      </c>
    </row>
    <row r="19" spans="1:11">
      <c r="A19" s="434"/>
      <c r="B19" s="447"/>
      <c r="C19" s="14" t="s">
        <v>61</v>
      </c>
      <c r="D19" s="6">
        <v>3</v>
      </c>
      <c r="E19" s="7">
        <f>D19*D1/1000</f>
        <v>0</v>
      </c>
      <c r="F19" s="75" t="s">
        <v>110</v>
      </c>
      <c r="G19" s="229">
        <f>D19/5</f>
        <v>0.6</v>
      </c>
      <c r="H19" s="229">
        <f>0</f>
        <v>0</v>
      </c>
      <c r="I19" s="229">
        <f>G19*0</f>
        <v>0</v>
      </c>
      <c r="J19" s="229">
        <f>G19*5</f>
        <v>3</v>
      </c>
      <c r="K19" s="221">
        <f t="shared" si="1"/>
        <v>27</v>
      </c>
    </row>
    <row r="20" spans="1:11">
      <c r="A20" s="434"/>
      <c r="B20" s="440" t="s">
        <v>690</v>
      </c>
      <c r="C20" s="14" t="s">
        <v>71</v>
      </c>
      <c r="D20" s="6">
        <v>30</v>
      </c>
      <c r="E20" s="8">
        <f>D20*D1/1000</f>
        <v>0</v>
      </c>
      <c r="F20" s="75" t="s">
        <v>81</v>
      </c>
      <c r="G20" s="221">
        <v>0.3</v>
      </c>
      <c r="H20" s="221">
        <f>1*G20</f>
        <v>0.3</v>
      </c>
      <c r="I20" s="221">
        <f>G20*5</f>
        <v>1.5</v>
      </c>
      <c r="J20" s="221">
        <f>0</f>
        <v>0</v>
      </c>
      <c r="K20" s="221">
        <f t="shared" si="1"/>
        <v>7.2</v>
      </c>
    </row>
    <row r="21" spans="1:11">
      <c r="A21" s="434"/>
      <c r="B21" s="434"/>
      <c r="C21" s="14" t="s">
        <v>72</v>
      </c>
      <c r="D21" s="6">
        <v>0.5</v>
      </c>
      <c r="E21" s="7">
        <f>D21*D1/1000</f>
        <v>0</v>
      </c>
      <c r="F21" s="77" t="s">
        <v>24</v>
      </c>
      <c r="G21" s="221"/>
      <c r="H21" s="221"/>
      <c r="I21" s="221"/>
      <c r="J21" s="221"/>
      <c r="K21" s="221"/>
    </row>
    <row r="22" spans="1:11">
      <c r="A22" s="434"/>
      <c r="B22" s="434"/>
      <c r="C22" s="14" t="s">
        <v>32</v>
      </c>
      <c r="D22" s="6">
        <v>0.5</v>
      </c>
      <c r="E22" s="7">
        <f>D22*D1/1000</f>
        <v>0</v>
      </c>
      <c r="F22" s="77" t="s">
        <v>24</v>
      </c>
      <c r="G22" s="221"/>
      <c r="H22" s="221"/>
      <c r="I22" s="221"/>
      <c r="J22" s="221"/>
      <c r="K22" s="221"/>
    </row>
    <row r="23" spans="1:11">
      <c r="A23" s="434"/>
      <c r="B23" s="434"/>
      <c r="C23" s="14" t="s">
        <v>39</v>
      </c>
      <c r="D23" s="6">
        <v>1</v>
      </c>
      <c r="E23" s="7">
        <f>D23*D1/1000</f>
        <v>0</v>
      </c>
      <c r="F23" s="75" t="s">
        <v>88</v>
      </c>
      <c r="G23" s="221">
        <v>0.05</v>
      </c>
      <c r="H23" s="221">
        <f>G23*2</f>
        <v>0.1</v>
      </c>
      <c r="I23" s="221">
        <f>G23*15</f>
        <v>0.75</v>
      </c>
      <c r="J23" s="221">
        <f>G23*0</f>
        <v>0</v>
      </c>
      <c r="K23" s="221">
        <f t="shared" si="1"/>
        <v>3.4</v>
      </c>
    </row>
    <row r="24" spans="1:11">
      <c r="A24" s="434"/>
      <c r="B24" s="435"/>
      <c r="C24" s="14" t="s">
        <v>61</v>
      </c>
      <c r="D24" s="6">
        <v>3</v>
      </c>
      <c r="E24" s="8">
        <f>D24*D1/1000</f>
        <v>0</v>
      </c>
      <c r="F24" s="75" t="s">
        <v>110</v>
      </c>
      <c r="G24" s="229">
        <f>D24/5</f>
        <v>0.6</v>
      </c>
      <c r="H24" s="229">
        <f>0</f>
        <v>0</v>
      </c>
      <c r="I24" s="229">
        <f>G24*0</f>
        <v>0</v>
      </c>
      <c r="J24" s="229">
        <f>G24*5</f>
        <v>3</v>
      </c>
      <c r="K24" s="221">
        <f t="shared" si="1"/>
        <v>27</v>
      </c>
    </row>
    <row r="25" spans="1:11">
      <c r="A25" s="434"/>
      <c r="B25" s="447" t="s">
        <v>73</v>
      </c>
      <c r="C25" s="14" t="s">
        <v>427</v>
      </c>
      <c r="D25" s="6">
        <v>15</v>
      </c>
      <c r="E25" s="7">
        <f>D25*D1/1000</f>
        <v>0</v>
      </c>
      <c r="F25" s="75" t="s">
        <v>112</v>
      </c>
      <c r="G25" s="221">
        <f>D25/35</f>
        <v>0.42857142857142855</v>
      </c>
      <c r="H25" s="221">
        <f>G25*7</f>
        <v>3</v>
      </c>
      <c r="I25" s="221">
        <f>G25*0</f>
        <v>0</v>
      </c>
      <c r="J25" s="221">
        <f>G25*3</f>
        <v>1.2857142857142856</v>
      </c>
      <c r="K25" s="221">
        <f t="shared" si="1"/>
        <v>23.571428571428569</v>
      </c>
    </row>
    <row r="26" spans="1:11">
      <c r="A26" s="434"/>
      <c r="B26" s="447"/>
      <c r="C26" s="14" t="s">
        <v>59</v>
      </c>
      <c r="D26" s="6">
        <v>1</v>
      </c>
      <c r="E26" s="7">
        <f>D26*D1/1000</f>
        <v>0</v>
      </c>
      <c r="F26" s="75" t="s">
        <v>81</v>
      </c>
      <c r="G26" s="221">
        <v>0.01</v>
      </c>
      <c r="H26" s="221">
        <f>1*G26</f>
        <v>0.01</v>
      </c>
      <c r="I26" s="221">
        <f>G26*5</f>
        <v>0.05</v>
      </c>
      <c r="J26" s="221">
        <f>0</f>
        <v>0</v>
      </c>
      <c r="K26" s="221">
        <f t="shared" si="1"/>
        <v>0.24000000000000002</v>
      </c>
    </row>
    <row r="27" spans="1:11">
      <c r="A27" s="434"/>
      <c r="B27" s="447"/>
      <c r="C27" s="14" t="s">
        <v>32</v>
      </c>
      <c r="D27" s="6">
        <v>0.5</v>
      </c>
      <c r="E27" s="8">
        <f>D27*D1/1000</f>
        <v>0</v>
      </c>
      <c r="F27" s="77" t="s">
        <v>24</v>
      </c>
      <c r="G27" s="221"/>
      <c r="H27" s="221"/>
      <c r="I27" s="221"/>
      <c r="J27" s="221"/>
      <c r="K27" s="221"/>
    </row>
    <row r="28" spans="1:11">
      <c r="A28" s="435"/>
      <c r="B28" s="447"/>
      <c r="C28" s="14" t="s">
        <v>36</v>
      </c>
      <c r="D28" s="6">
        <v>1.5</v>
      </c>
      <c r="E28" s="7">
        <f>D28*D$1/1000</f>
        <v>0</v>
      </c>
      <c r="F28" s="77" t="s">
        <v>24</v>
      </c>
      <c r="G28" s="221"/>
      <c r="H28" s="221"/>
      <c r="I28" s="221"/>
      <c r="J28" s="221"/>
      <c r="K28" s="221"/>
    </row>
    <row r="29" spans="1:11">
      <c r="A29" s="440" t="s">
        <v>2</v>
      </c>
      <c r="B29" s="254" t="s">
        <v>535</v>
      </c>
      <c r="C29" s="255" t="s">
        <v>536</v>
      </c>
      <c r="D29" s="256">
        <v>150</v>
      </c>
      <c r="E29" s="7">
        <f>D29*D$1/1000</f>
        <v>0</v>
      </c>
      <c r="F29" s="186" t="s">
        <v>75</v>
      </c>
      <c r="G29" s="221">
        <f>D29/240</f>
        <v>0.625</v>
      </c>
      <c r="H29" s="221">
        <f>G29*8</f>
        <v>5</v>
      </c>
      <c r="I29" s="221">
        <f>G29*12</f>
        <v>7.5</v>
      </c>
      <c r="J29" s="221">
        <f>G29*4</f>
        <v>2.5</v>
      </c>
      <c r="K29" s="221">
        <f>H29*4+I29*9+J29*4</f>
        <v>97.5</v>
      </c>
    </row>
    <row r="30" spans="1:11">
      <c r="A30" s="434"/>
      <c r="B30" s="494" t="s">
        <v>531</v>
      </c>
      <c r="C30" s="216" t="s">
        <v>334</v>
      </c>
      <c r="D30" s="46">
        <v>30</v>
      </c>
      <c r="E30" s="7">
        <f>D30*D1/1000</f>
        <v>0</v>
      </c>
      <c r="F30" s="186" t="s">
        <v>88</v>
      </c>
      <c r="G30" s="221">
        <f>D30/20</f>
        <v>1.5</v>
      </c>
      <c r="H30" s="221">
        <f>G30*2</f>
        <v>3</v>
      </c>
      <c r="I30" s="221">
        <f>G30*15</f>
        <v>22.5</v>
      </c>
      <c r="J30" s="221"/>
      <c r="K30" s="221">
        <f t="shared" si="1"/>
        <v>102</v>
      </c>
    </row>
    <row r="31" spans="1:11" s="173" customFormat="1">
      <c r="A31" s="434"/>
      <c r="B31" s="495"/>
      <c r="C31" s="216" t="s">
        <v>264</v>
      </c>
      <c r="D31" s="46">
        <v>3</v>
      </c>
      <c r="E31" s="7">
        <f>D31*D1/1000</f>
        <v>0</v>
      </c>
      <c r="F31" s="186" t="s">
        <v>112</v>
      </c>
      <c r="G31" s="221">
        <v>0.15</v>
      </c>
      <c r="H31" s="221">
        <f>G31*7</f>
        <v>1.05</v>
      </c>
      <c r="I31" s="221">
        <v>0.75</v>
      </c>
      <c r="J31" s="221">
        <f>G31*10</f>
        <v>1.5</v>
      </c>
      <c r="K31" s="221">
        <f t="shared" si="1"/>
        <v>20.7</v>
      </c>
    </row>
    <row r="32" spans="1:11" s="173" customFormat="1">
      <c r="A32" s="434"/>
      <c r="B32" s="496"/>
      <c r="C32" s="216" t="s">
        <v>532</v>
      </c>
      <c r="D32" s="46"/>
      <c r="E32" s="7">
        <f>D32*D1/1000</f>
        <v>0</v>
      </c>
      <c r="F32" s="46"/>
      <c r="G32" s="248"/>
      <c r="H32" s="249"/>
      <c r="I32" s="248"/>
      <c r="J32" s="248"/>
      <c r="K32" s="248"/>
    </row>
    <row r="33" spans="1:11" s="342" customFormat="1">
      <c r="A33" s="435"/>
      <c r="B33" s="344" t="s">
        <v>642</v>
      </c>
      <c r="C33" s="14" t="s">
        <v>643</v>
      </c>
      <c r="D33" s="347"/>
      <c r="E33" s="7"/>
      <c r="F33" s="346" t="s">
        <v>8</v>
      </c>
      <c r="G33" s="221">
        <v>1</v>
      </c>
      <c r="H33" s="221">
        <f>G33*0</f>
        <v>0</v>
      </c>
      <c r="I33" s="221">
        <f>G33*15</f>
        <v>15</v>
      </c>
      <c r="J33" s="221">
        <f>G33*0</f>
        <v>0</v>
      </c>
      <c r="K33" s="221">
        <f t="shared" ref="K33" si="2">H33*4+I33*4+J33*9</f>
        <v>60</v>
      </c>
    </row>
    <row r="34" spans="1:11" ht="21">
      <c r="A34" s="487" t="s">
        <v>499</v>
      </c>
      <c r="B34" s="487"/>
      <c r="C34" s="234"/>
      <c r="D34" s="235"/>
      <c r="E34" s="235"/>
      <c r="F34" s="236"/>
      <c r="G34" s="236"/>
      <c r="H34" s="250">
        <f>SUM(H3:H32)</f>
        <v>29.196666666666669</v>
      </c>
      <c r="I34" s="211">
        <f>SUM(I3:I33)</f>
        <v>95.6</v>
      </c>
      <c r="J34" s="211">
        <f>SUM(J3:J32)</f>
        <v>20.857142857142858</v>
      </c>
      <c r="K34" s="211">
        <f t="shared" si="1"/>
        <v>686.90095238095239</v>
      </c>
    </row>
    <row r="35" spans="1:11" ht="19.5">
      <c r="A35" s="461" t="s">
        <v>537</v>
      </c>
      <c r="B35" s="462"/>
      <c r="C35" s="261"/>
      <c r="D35" s="261"/>
      <c r="E35" s="261"/>
      <c r="F35" s="262"/>
      <c r="G35" s="262"/>
      <c r="H35" s="258">
        <f>+H34*4/K34</f>
        <v>0.17001966042099367</v>
      </c>
      <c r="I35" s="257">
        <f>+I34*4/K34</f>
        <v>0.55670326074598675</v>
      </c>
      <c r="J35" s="257">
        <f>+J34*9/K34</f>
        <v>0.27327707883301955</v>
      </c>
      <c r="K35" s="257">
        <f>+H35+I35+J35</f>
        <v>1</v>
      </c>
    </row>
  </sheetData>
  <mergeCells count="19">
    <mergeCell ref="K8:K9"/>
    <mergeCell ref="A1:B1"/>
    <mergeCell ref="F1:K1"/>
    <mergeCell ref="B3:B7"/>
    <mergeCell ref="B8:B9"/>
    <mergeCell ref="G8:G9"/>
    <mergeCell ref="H8:H9"/>
    <mergeCell ref="I8:I9"/>
    <mergeCell ref="A3:A7"/>
    <mergeCell ref="B30:B32"/>
    <mergeCell ref="A8:A28"/>
    <mergeCell ref="A35:B35"/>
    <mergeCell ref="J8:J9"/>
    <mergeCell ref="B16:B19"/>
    <mergeCell ref="B25:B28"/>
    <mergeCell ref="B10:B15"/>
    <mergeCell ref="B20:B24"/>
    <mergeCell ref="A34:B34"/>
    <mergeCell ref="A29:A33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7" zoomScale="70" zoomScaleNormal="70" workbookViewId="0">
      <selection activeCell="B18" sqref="B18:B20"/>
    </sheetView>
  </sheetViews>
  <sheetFormatPr defaultRowHeight="16.5"/>
  <cols>
    <col min="1" max="1" width="5.5" customWidth="1"/>
    <col min="2" max="2" width="14.75" customWidth="1"/>
    <col min="3" max="3" width="14.875" customWidth="1"/>
    <col min="4" max="4" width="6.375" customWidth="1"/>
    <col min="5" max="5" width="7.875" customWidth="1"/>
    <col min="6" max="6" width="5.5" style="80" customWidth="1"/>
    <col min="7" max="7" width="6.625" style="80" customWidth="1"/>
    <col min="8" max="8" width="8.875" style="80" customWidth="1"/>
    <col min="9" max="9" width="9" style="80"/>
    <col min="10" max="10" width="6" style="80" customWidth="1"/>
    <col min="11" max="11" width="8.375" style="80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45" t="s">
        <v>16</v>
      </c>
      <c r="B2" s="43" t="s">
        <v>17</v>
      </c>
      <c r="C2" s="24" t="s">
        <v>18</v>
      </c>
      <c r="D2" s="46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40" t="s">
        <v>0</v>
      </c>
      <c r="B3" s="28" t="s">
        <v>430</v>
      </c>
      <c r="C3" s="54" t="s">
        <v>361</v>
      </c>
      <c r="D3" s="54">
        <v>10</v>
      </c>
      <c r="E3" s="7">
        <f>D3*D1/1000</f>
        <v>0</v>
      </c>
      <c r="F3" s="82" t="s">
        <v>88</v>
      </c>
      <c r="G3" s="281">
        <f>D3/20</f>
        <v>0.5</v>
      </c>
      <c r="H3" s="282">
        <f>G3*2</f>
        <v>1</v>
      </c>
      <c r="I3" s="282">
        <f>G3*15</f>
        <v>7.5</v>
      </c>
      <c r="J3" s="282"/>
      <c r="K3" s="282">
        <f t="shared" ref="K3:K29" si="0">H3*4+I3*4+J3*9</f>
        <v>34</v>
      </c>
    </row>
    <row r="4" spans="1:11">
      <c r="A4" s="435"/>
      <c r="B4" s="20" t="s">
        <v>257</v>
      </c>
      <c r="C4" s="12" t="s">
        <v>129</v>
      </c>
      <c r="D4" s="58">
        <v>120</v>
      </c>
      <c r="E4" s="7">
        <f>D4*D1/1000</f>
        <v>0</v>
      </c>
      <c r="F4" s="78" t="s">
        <v>75</v>
      </c>
      <c r="G4" s="281">
        <f>D4/240</f>
        <v>0.5</v>
      </c>
      <c r="H4" s="282">
        <f>G4*8</f>
        <v>4</v>
      </c>
      <c r="I4" s="282">
        <f>G4*12</f>
        <v>6</v>
      </c>
      <c r="J4" s="282">
        <f>G4*4</f>
        <v>2</v>
      </c>
      <c r="K4" s="282">
        <f t="shared" si="0"/>
        <v>58</v>
      </c>
    </row>
    <row r="5" spans="1:11">
      <c r="A5" s="440" t="s">
        <v>1</v>
      </c>
      <c r="B5" s="20" t="s">
        <v>154</v>
      </c>
      <c r="C5" s="57" t="s">
        <v>28</v>
      </c>
      <c r="D5" s="58">
        <v>40</v>
      </c>
      <c r="E5" s="7">
        <f>D5*D1/1000</f>
        <v>0</v>
      </c>
      <c r="F5" s="78" t="s">
        <v>88</v>
      </c>
      <c r="G5" s="282">
        <v>2</v>
      </c>
      <c r="H5" s="282">
        <v>4</v>
      </c>
      <c r="I5" s="282">
        <v>30</v>
      </c>
      <c r="J5" s="282">
        <v>0</v>
      </c>
      <c r="K5" s="282">
        <f t="shared" si="0"/>
        <v>136</v>
      </c>
    </row>
    <row r="6" spans="1:11">
      <c r="A6" s="434"/>
      <c r="B6" s="440" t="s">
        <v>362</v>
      </c>
      <c r="C6" s="57" t="s">
        <v>127</v>
      </c>
      <c r="D6" s="58">
        <v>5</v>
      </c>
      <c r="E6" s="7">
        <f>D6*D1/1000</f>
        <v>0</v>
      </c>
      <c r="F6" s="78" t="s">
        <v>88</v>
      </c>
      <c r="G6" s="282">
        <f>D6/85</f>
        <v>5.8823529411764705E-2</v>
      </c>
      <c r="H6" s="282">
        <f>G6*2</f>
        <v>0.11764705882352941</v>
      </c>
      <c r="I6" s="282">
        <f>G6*15</f>
        <v>0.88235294117647056</v>
      </c>
      <c r="J6" s="282">
        <v>0</v>
      </c>
      <c r="K6" s="282">
        <f t="shared" si="0"/>
        <v>4</v>
      </c>
    </row>
    <row r="7" spans="1:11">
      <c r="A7" s="434"/>
      <c r="B7" s="434"/>
      <c r="C7" s="57" t="s">
        <v>260</v>
      </c>
      <c r="D7" s="58">
        <v>3</v>
      </c>
      <c r="E7" s="7">
        <f>D7*D1/1000</f>
        <v>0</v>
      </c>
      <c r="F7" s="78" t="s">
        <v>88</v>
      </c>
      <c r="G7" s="282">
        <f>D7/20</f>
        <v>0.15</v>
      </c>
      <c r="H7" s="282">
        <f>G7*2</f>
        <v>0.3</v>
      </c>
      <c r="I7" s="282">
        <f>G7*15</f>
        <v>2.25</v>
      </c>
      <c r="J7" s="282">
        <v>0</v>
      </c>
      <c r="K7" s="282">
        <f t="shared" si="0"/>
        <v>10.199999999999999</v>
      </c>
    </row>
    <row r="8" spans="1:11">
      <c r="A8" s="434"/>
      <c r="B8" s="434"/>
      <c r="C8" s="66" t="s">
        <v>363</v>
      </c>
      <c r="D8" s="47">
        <v>5</v>
      </c>
      <c r="E8" s="8">
        <f>D8*D1/1000</f>
        <v>0</v>
      </c>
      <c r="F8" s="75" t="s">
        <v>88</v>
      </c>
      <c r="G8" s="282">
        <f>D8/20</f>
        <v>0.25</v>
      </c>
      <c r="H8" s="282">
        <f>G8*2</f>
        <v>0.5</v>
      </c>
      <c r="I8" s="282">
        <f>G8*15</f>
        <v>3.75</v>
      </c>
      <c r="J8" s="282">
        <v>0</v>
      </c>
      <c r="K8" s="282">
        <f t="shared" si="0"/>
        <v>17</v>
      </c>
    </row>
    <row r="9" spans="1:11">
      <c r="A9" s="434"/>
      <c r="B9" s="434"/>
      <c r="C9" s="66" t="s">
        <v>364</v>
      </c>
      <c r="D9" s="47">
        <v>0.5</v>
      </c>
      <c r="E9" s="7">
        <f>D9*D1/1000</f>
        <v>0</v>
      </c>
      <c r="F9" s="77" t="s">
        <v>24</v>
      </c>
      <c r="G9" s="282"/>
      <c r="H9" s="282"/>
      <c r="I9" s="282"/>
      <c r="J9" s="282"/>
      <c r="K9" s="282">
        <f t="shared" si="0"/>
        <v>0</v>
      </c>
    </row>
    <row r="10" spans="1:11">
      <c r="A10" s="434"/>
      <c r="B10" s="434"/>
      <c r="C10" s="66" t="s">
        <v>365</v>
      </c>
      <c r="D10" s="47">
        <v>0.5</v>
      </c>
      <c r="E10" s="7">
        <f>D10*D1/1000</f>
        <v>0</v>
      </c>
      <c r="F10" s="77" t="s">
        <v>24</v>
      </c>
      <c r="G10" s="282"/>
      <c r="H10" s="282"/>
      <c r="I10" s="282"/>
      <c r="J10" s="282"/>
      <c r="K10" s="282">
        <f t="shared" si="0"/>
        <v>0</v>
      </c>
    </row>
    <row r="11" spans="1:11">
      <c r="A11" s="434"/>
      <c r="B11" s="434"/>
      <c r="C11" s="49" t="s">
        <v>22</v>
      </c>
      <c r="D11" s="47">
        <v>1</v>
      </c>
      <c r="E11" s="7">
        <f>D11*D1/1000</f>
        <v>0</v>
      </c>
      <c r="F11" s="106" t="s">
        <v>24</v>
      </c>
      <c r="G11" s="282"/>
      <c r="H11" s="282"/>
      <c r="I11" s="282"/>
      <c r="J11" s="282"/>
      <c r="K11" s="282">
        <f t="shared" si="0"/>
        <v>0</v>
      </c>
    </row>
    <row r="12" spans="1:11">
      <c r="A12" s="434"/>
      <c r="B12" s="434"/>
      <c r="C12" s="49" t="s">
        <v>225</v>
      </c>
      <c r="D12" s="47">
        <v>0.5</v>
      </c>
      <c r="E12" s="7">
        <f>D12*D1/1000</f>
        <v>0</v>
      </c>
      <c r="F12" s="77" t="s">
        <v>24</v>
      </c>
      <c r="G12" s="282"/>
      <c r="H12" s="282"/>
      <c r="I12" s="282"/>
      <c r="J12" s="282"/>
      <c r="K12" s="282">
        <f t="shared" si="0"/>
        <v>0</v>
      </c>
    </row>
    <row r="13" spans="1:11">
      <c r="A13" s="434"/>
      <c r="B13" s="434"/>
      <c r="C13" s="49" t="s">
        <v>226</v>
      </c>
      <c r="D13" s="47">
        <v>0.5</v>
      </c>
      <c r="E13" s="7">
        <f>D13*D1/1000</f>
        <v>0</v>
      </c>
      <c r="F13" s="77" t="s">
        <v>24</v>
      </c>
      <c r="G13" s="282"/>
      <c r="H13" s="282"/>
      <c r="I13" s="282"/>
      <c r="J13" s="282"/>
      <c r="K13" s="282">
        <f t="shared" si="0"/>
        <v>0</v>
      </c>
    </row>
    <row r="14" spans="1:11">
      <c r="A14" s="434"/>
      <c r="B14" s="435"/>
      <c r="C14" s="49" t="s">
        <v>80</v>
      </c>
      <c r="D14" s="47">
        <v>40</v>
      </c>
      <c r="E14" s="7">
        <f>D14*D1/1000</f>
        <v>0</v>
      </c>
      <c r="F14" s="75" t="s">
        <v>112</v>
      </c>
      <c r="G14" s="282">
        <f>D14/35</f>
        <v>1.1428571428571428</v>
      </c>
      <c r="H14" s="282">
        <f>G14*7</f>
        <v>8</v>
      </c>
      <c r="I14" s="282"/>
      <c r="J14" s="282">
        <f>G14*5</f>
        <v>5.7142857142857135</v>
      </c>
      <c r="K14" s="282">
        <f t="shared" si="0"/>
        <v>83.428571428571416</v>
      </c>
    </row>
    <row r="15" spans="1:11">
      <c r="A15" s="434"/>
      <c r="B15" s="465" t="s">
        <v>366</v>
      </c>
      <c r="C15" s="13" t="s">
        <v>329</v>
      </c>
      <c r="D15" s="9" t="s">
        <v>367</v>
      </c>
      <c r="E15" s="7"/>
      <c r="F15" s="76" t="s">
        <v>88</v>
      </c>
      <c r="G15" s="283">
        <v>1</v>
      </c>
      <c r="H15" s="282">
        <v>2</v>
      </c>
      <c r="I15" s="282">
        <v>15</v>
      </c>
      <c r="J15" s="282"/>
      <c r="K15" s="282">
        <f t="shared" si="0"/>
        <v>68</v>
      </c>
    </row>
    <row r="16" spans="1:11">
      <c r="A16" s="434"/>
      <c r="B16" s="463"/>
      <c r="C16" s="14" t="s">
        <v>368</v>
      </c>
      <c r="D16" s="31"/>
      <c r="E16" s="7"/>
      <c r="F16" s="77" t="s">
        <v>24</v>
      </c>
      <c r="G16" s="282"/>
      <c r="H16" s="282"/>
      <c r="I16" s="282"/>
      <c r="J16" s="282"/>
      <c r="K16" s="282">
        <f t="shared" si="0"/>
        <v>0</v>
      </c>
    </row>
    <row r="17" spans="1:11">
      <c r="A17" s="434"/>
      <c r="B17" s="463"/>
      <c r="C17" s="14" t="s">
        <v>252</v>
      </c>
      <c r="D17" s="31"/>
      <c r="E17" s="8"/>
      <c r="F17" s="106" t="s">
        <v>24</v>
      </c>
      <c r="G17" s="283"/>
      <c r="H17" s="282"/>
      <c r="I17" s="282"/>
      <c r="J17" s="282"/>
      <c r="K17" s="282">
        <f t="shared" si="0"/>
        <v>0</v>
      </c>
    </row>
    <row r="18" spans="1:11">
      <c r="A18" s="434"/>
      <c r="B18" s="457" t="s">
        <v>691</v>
      </c>
      <c r="C18" s="14" t="s">
        <v>52</v>
      </c>
      <c r="D18" s="58">
        <v>0.5</v>
      </c>
      <c r="E18" s="7"/>
      <c r="F18" s="106" t="s">
        <v>24</v>
      </c>
      <c r="G18" s="283"/>
      <c r="H18" s="282"/>
      <c r="I18" s="282"/>
      <c r="J18" s="282"/>
      <c r="K18" s="282">
        <f t="shared" si="0"/>
        <v>0</v>
      </c>
    </row>
    <row r="19" spans="1:11">
      <c r="A19" s="434"/>
      <c r="B19" s="457"/>
      <c r="C19" s="14" t="s">
        <v>692</v>
      </c>
      <c r="D19" s="31">
        <v>30</v>
      </c>
      <c r="E19" s="7">
        <f>D19*D1/1000</f>
        <v>0</v>
      </c>
      <c r="F19" s="75" t="s">
        <v>81</v>
      </c>
      <c r="G19" s="282">
        <v>0.3</v>
      </c>
      <c r="H19" s="282"/>
      <c r="I19" s="282">
        <v>1.5</v>
      </c>
      <c r="J19" s="282"/>
      <c r="K19" s="282">
        <f t="shared" si="0"/>
        <v>6</v>
      </c>
    </row>
    <row r="20" spans="1:11">
      <c r="A20" s="434"/>
      <c r="B20" s="452"/>
      <c r="C20" s="59" t="s">
        <v>183</v>
      </c>
      <c r="D20" s="60">
        <v>4</v>
      </c>
      <c r="E20" s="7">
        <f>D20*D1/1000</f>
        <v>0</v>
      </c>
      <c r="F20" s="75" t="s">
        <v>110</v>
      </c>
      <c r="G20" s="282">
        <f>D20/5</f>
        <v>0.8</v>
      </c>
      <c r="H20" s="282">
        <f>0</f>
        <v>0</v>
      </c>
      <c r="I20" s="282">
        <f>G20*0</f>
        <v>0</v>
      </c>
      <c r="J20" s="282">
        <f>G20*5</f>
        <v>4</v>
      </c>
      <c r="K20" s="282">
        <f t="shared" si="0"/>
        <v>36</v>
      </c>
    </row>
    <row r="21" spans="1:11">
      <c r="A21" s="434"/>
      <c r="B21" s="458" t="s">
        <v>369</v>
      </c>
      <c r="C21" s="61" t="s">
        <v>102</v>
      </c>
      <c r="D21" s="60">
        <v>20</v>
      </c>
      <c r="E21" s="7">
        <f>D21*D1/1000</f>
        <v>0</v>
      </c>
      <c r="F21" s="75" t="s">
        <v>112</v>
      </c>
      <c r="G21" s="282">
        <f>D21/30</f>
        <v>0.66666666666666663</v>
      </c>
      <c r="H21" s="282">
        <f>G21*7</f>
        <v>4.6666666666666661</v>
      </c>
      <c r="I21" s="282"/>
      <c r="J21" s="282">
        <f>G21*3</f>
        <v>2</v>
      </c>
      <c r="K21" s="282">
        <f t="shared" si="0"/>
        <v>36.666666666666664</v>
      </c>
    </row>
    <row r="22" spans="1:11">
      <c r="A22" s="434"/>
      <c r="B22" s="459"/>
      <c r="C22" s="61" t="s">
        <v>364</v>
      </c>
      <c r="D22" s="62">
        <v>0.5</v>
      </c>
      <c r="E22" s="7">
        <f>D22*D1/1000</f>
        <v>0</v>
      </c>
      <c r="F22" s="77" t="s">
        <v>24</v>
      </c>
      <c r="G22" s="282"/>
      <c r="H22" s="282"/>
      <c r="I22" s="282"/>
      <c r="J22" s="282"/>
      <c r="K22" s="282">
        <f t="shared" si="0"/>
        <v>0</v>
      </c>
    </row>
    <row r="23" spans="1:11">
      <c r="A23" s="435"/>
      <c r="B23" s="460"/>
      <c r="C23" s="61" t="s">
        <v>59</v>
      </c>
      <c r="D23" s="62">
        <v>0.5</v>
      </c>
      <c r="E23" s="7">
        <f>D23*D32/1000</f>
        <v>0</v>
      </c>
      <c r="F23" s="77" t="s">
        <v>24</v>
      </c>
      <c r="G23" s="282"/>
      <c r="H23" s="282"/>
      <c r="I23" s="282"/>
      <c r="J23" s="282"/>
      <c r="K23" s="282">
        <f t="shared" si="0"/>
        <v>0</v>
      </c>
    </row>
    <row r="24" spans="1:11">
      <c r="A24" s="440" t="s">
        <v>2</v>
      </c>
      <c r="B24" s="497" t="s">
        <v>431</v>
      </c>
      <c r="C24" s="49" t="s">
        <v>370</v>
      </c>
      <c r="D24" s="58">
        <v>15</v>
      </c>
      <c r="E24" s="7">
        <f>D24*D1/1000</f>
        <v>0</v>
      </c>
      <c r="F24" s="75" t="s">
        <v>88</v>
      </c>
      <c r="G24" s="282">
        <f>D24/20</f>
        <v>0.75</v>
      </c>
      <c r="H24" s="282">
        <f>G24*2</f>
        <v>1.5</v>
      </c>
      <c r="I24" s="282">
        <f>G24*15</f>
        <v>11.25</v>
      </c>
      <c r="J24" s="282"/>
      <c r="K24" s="282">
        <f t="shared" si="0"/>
        <v>51</v>
      </c>
    </row>
    <row r="25" spans="1:11">
      <c r="A25" s="434"/>
      <c r="B25" s="498"/>
      <c r="C25" s="49" t="s">
        <v>371</v>
      </c>
      <c r="D25" s="58">
        <v>5</v>
      </c>
      <c r="E25" s="7">
        <f>D25*D1/1000</f>
        <v>0</v>
      </c>
      <c r="F25" s="75" t="s">
        <v>75</v>
      </c>
      <c r="G25" s="282"/>
      <c r="H25" s="282">
        <v>1</v>
      </c>
      <c r="I25" s="282">
        <v>5</v>
      </c>
      <c r="J25" s="282"/>
      <c r="K25" s="282">
        <f t="shared" si="0"/>
        <v>24</v>
      </c>
    </row>
    <row r="26" spans="1:11" s="173" customFormat="1">
      <c r="A26" s="434"/>
      <c r="B26" s="499"/>
      <c r="C26" s="59" t="s">
        <v>83</v>
      </c>
      <c r="D26" s="177">
        <v>5</v>
      </c>
      <c r="E26" s="7">
        <f>D26*D1/1000</f>
        <v>0</v>
      </c>
      <c r="F26" s="175" t="s">
        <v>110</v>
      </c>
      <c r="G26" s="282">
        <f>D26/5</f>
        <v>1</v>
      </c>
      <c r="H26" s="282">
        <f>0</f>
        <v>0</v>
      </c>
      <c r="I26" s="282">
        <f>G26*0</f>
        <v>0</v>
      </c>
      <c r="J26" s="282">
        <f>G26*5</f>
        <v>5</v>
      </c>
      <c r="K26" s="282">
        <f t="shared" ref="K26" si="1">H26*4+I26*4+J26*9</f>
        <v>45</v>
      </c>
    </row>
    <row r="27" spans="1:11">
      <c r="A27" s="434"/>
      <c r="B27" s="440" t="s">
        <v>372</v>
      </c>
      <c r="C27" s="22" t="s">
        <v>373</v>
      </c>
      <c r="D27" s="58">
        <v>7</v>
      </c>
      <c r="E27" s="8">
        <f>D27*D1/1000</f>
        <v>0</v>
      </c>
      <c r="F27" s="77" t="s">
        <v>24</v>
      </c>
      <c r="G27" s="282"/>
      <c r="H27" s="282"/>
      <c r="I27" s="282"/>
      <c r="J27" s="282"/>
      <c r="K27" s="282">
        <f t="shared" si="0"/>
        <v>0</v>
      </c>
    </row>
    <row r="28" spans="1:11">
      <c r="A28" s="434"/>
      <c r="B28" s="435"/>
      <c r="C28" s="22" t="s">
        <v>185</v>
      </c>
      <c r="D28" s="58">
        <v>5</v>
      </c>
      <c r="E28" s="7">
        <f>D28*D1/1000</f>
        <v>0</v>
      </c>
      <c r="F28" s="77" t="s">
        <v>24</v>
      </c>
      <c r="G28" s="282"/>
      <c r="H28" s="282"/>
      <c r="I28" s="282">
        <v>5</v>
      </c>
      <c r="J28" s="282"/>
      <c r="K28" s="282">
        <f t="shared" si="0"/>
        <v>20</v>
      </c>
    </row>
    <row r="29" spans="1:11">
      <c r="A29" s="435"/>
      <c r="B29" s="174" t="s">
        <v>645</v>
      </c>
      <c r="C29" s="14" t="s">
        <v>646</v>
      </c>
      <c r="D29" s="176"/>
      <c r="E29" s="7"/>
      <c r="F29" s="175" t="s">
        <v>8</v>
      </c>
      <c r="G29" s="282">
        <v>1</v>
      </c>
      <c r="H29" s="282">
        <f>G29*0</f>
        <v>0</v>
      </c>
      <c r="I29" s="282">
        <f>G29*15</f>
        <v>15</v>
      </c>
      <c r="J29" s="282">
        <f>G29*0</f>
        <v>0</v>
      </c>
      <c r="K29" s="282">
        <f t="shared" si="0"/>
        <v>60</v>
      </c>
    </row>
    <row r="30" spans="1:11" ht="21">
      <c r="A30" s="487" t="s">
        <v>644</v>
      </c>
      <c r="B30" s="487"/>
      <c r="C30" s="234"/>
      <c r="D30" s="235"/>
      <c r="E30" s="235"/>
      <c r="F30" s="236"/>
      <c r="G30" s="284"/>
      <c r="H30" s="286">
        <f>SUM(H3:H29)</f>
        <v>27.084313725490198</v>
      </c>
      <c r="I30" s="286">
        <f>SUM(I3:I29)</f>
        <v>103.13235294117646</v>
      </c>
      <c r="J30" s="286">
        <f>SUM(J3:J29)</f>
        <v>18.714285714285715</v>
      </c>
      <c r="K30" s="286">
        <f>SUM(K3:K29)</f>
        <v>689.29523809523812</v>
      </c>
    </row>
    <row r="31" spans="1:11" ht="19.5">
      <c r="A31" s="461" t="s">
        <v>537</v>
      </c>
      <c r="B31" s="462"/>
      <c r="C31" s="261"/>
      <c r="D31" s="261"/>
      <c r="E31" s="261"/>
      <c r="F31" s="262"/>
      <c r="G31" s="262"/>
      <c r="H31" s="258">
        <f>+H30*4/K30</f>
        <v>0.15717104792618938</v>
      </c>
      <c r="I31" s="257">
        <f>+I30*4/K30</f>
        <v>0.59847999661896367</v>
      </c>
      <c r="J31" s="257">
        <f>+J30*9/K30</f>
        <v>0.24434895545484692</v>
      </c>
      <c r="K31" s="257">
        <f>+H31+I31+J31</f>
        <v>1</v>
      </c>
    </row>
  </sheetData>
  <mergeCells count="13">
    <mergeCell ref="A31:B31"/>
    <mergeCell ref="F1:K1"/>
    <mergeCell ref="B15:B17"/>
    <mergeCell ref="A3:A4"/>
    <mergeCell ref="A5:A23"/>
    <mergeCell ref="B21:B23"/>
    <mergeCell ref="A1:B1"/>
    <mergeCell ref="A30:B30"/>
    <mergeCell ref="B24:B26"/>
    <mergeCell ref="A24:A29"/>
    <mergeCell ref="B27:B28"/>
    <mergeCell ref="B6:B14"/>
    <mergeCell ref="B18:B20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9" zoomScale="70" zoomScaleNormal="70" workbookViewId="0">
      <selection activeCell="B20" sqref="B20:B22"/>
    </sheetView>
  </sheetViews>
  <sheetFormatPr defaultRowHeight="16.5"/>
  <cols>
    <col min="1" max="1" width="5.5" customWidth="1"/>
    <col min="2" max="2" width="13.5" customWidth="1"/>
    <col min="3" max="3" width="12.75" customWidth="1"/>
    <col min="4" max="4" width="6.375" customWidth="1"/>
    <col min="5" max="5" width="10" customWidth="1"/>
    <col min="6" max="7" width="7.375" style="80" customWidth="1"/>
    <col min="8" max="8" width="9.5" style="80" customWidth="1"/>
    <col min="9" max="11" width="7.375" style="80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45" t="s">
        <v>327</v>
      </c>
      <c r="B2" s="43" t="s">
        <v>17</v>
      </c>
      <c r="C2" s="24" t="s">
        <v>18</v>
      </c>
      <c r="D2" s="46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39" t="s">
        <v>0</v>
      </c>
      <c r="B3" s="466" t="s">
        <v>342</v>
      </c>
      <c r="C3" s="53" t="s">
        <v>349</v>
      </c>
      <c r="D3" s="54" t="s">
        <v>46</v>
      </c>
      <c r="E3" s="7"/>
      <c r="F3" s="82"/>
      <c r="G3" s="82"/>
      <c r="H3" s="82"/>
      <c r="I3" s="75"/>
      <c r="J3" s="75"/>
      <c r="K3" s="75"/>
    </row>
    <row r="4" spans="1:11">
      <c r="A4" s="439"/>
      <c r="B4" s="467"/>
      <c r="C4" s="53" t="s">
        <v>218</v>
      </c>
      <c r="D4" s="54" t="s">
        <v>46</v>
      </c>
      <c r="E4" s="7"/>
      <c r="F4" s="82"/>
      <c r="G4" s="82"/>
      <c r="H4" s="82"/>
      <c r="I4" s="75"/>
      <c r="J4" s="75"/>
      <c r="K4" s="75"/>
    </row>
    <row r="5" spans="1:11">
      <c r="A5" s="439"/>
      <c r="B5" s="467"/>
      <c r="C5" s="53" t="s">
        <v>264</v>
      </c>
      <c r="D5" s="54">
        <v>8</v>
      </c>
      <c r="E5" s="7">
        <f>D5*D1/1000</f>
        <v>0</v>
      </c>
      <c r="F5" s="82" t="s">
        <v>112</v>
      </c>
      <c r="G5" s="281">
        <f>D5/20</f>
        <v>0.4</v>
      </c>
      <c r="H5" s="282">
        <f>G5*7</f>
        <v>2.8000000000000003</v>
      </c>
      <c r="I5" s="282">
        <f>G5*5</f>
        <v>2</v>
      </c>
      <c r="J5" s="282">
        <f>G5*5</f>
        <v>2</v>
      </c>
      <c r="K5" s="282">
        <f t="shared" ref="K5:K10" si="0">H5*4+I5*4+J5*9</f>
        <v>37.200000000000003</v>
      </c>
    </row>
    <row r="6" spans="1:11">
      <c r="A6" s="439"/>
      <c r="B6" s="467"/>
      <c r="C6" s="55" t="s">
        <v>265</v>
      </c>
      <c r="D6" s="17">
        <v>20</v>
      </c>
      <c r="E6" s="7">
        <f>D6*D1/1000</f>
        <v>0</v>
      </c>
      <c r="F6" s="76" t="s">
        <v>88</v>
      </c>
      <c r="G6" s="283">
        <v>1</v>
      </c>
      <c r="H6" s="282">
        <v>2</v>
      </c>
      <c r="I6" s="282">
        <v>15</v>
      </c>
      <c r="J6" s="282">
        <v>0</v>
      </c>
      <c r="K6" s="282">
        <f t="shared" si="0"/>
        <v>68</v>
      </c>
    </row>
    <row r="7" spans="1:11">
      <c r="A7" s="455"/>
      <c r="B7" s="20" t="s">
        <v>266</v>
      </c>
      <c r="C7" s="65" t="s">
        <v>267</v>
      </c>
      <c r="D7" s="9" t="s">
        <v>268</v>
      </c>
      <c r="E7" s="7"/>
      <c r="F7" s="78" t="s">
        <v>75</v>
      </c>
      <c r="G7" s="282"/>
      <c r="H7" s="282">
        <v>8</v>
      </c>
      <c r="I7" s="282">
        <v>12</v>
      </c>
      <c r="J7" s="282">
        <v>4</v>
      </c>
      <c r="K7" s="282">
        <f t="shared" si="0"/>
        <v>116</v>
      </c>
    </row>
    <row r="8" spans="1:11">
      <c r="A8" s="32"/>
      <c r="B8" s="441" t="s">
        <v>269</v>
      </c>
      <c r="C8" s="57" t="s">
        <v>270</v>
      </c>
      <c r="D8" s="58">
        <v>60</v>
      </c>
      <c r="E8" s="8">
        <f>D8*D1/1000</f>
        <v>0</v>
      </c>
      <c r="F8" s="78" t="s">
        <v>88</v>
      </c>
      <c r="G8" s="282">
        <f>D8/60</f>
        <v>1</v>
      </c>
      <c r="H8" s="282">
        <f>G8*2</f>
        <v>2</v>
      </c>
      <c r="I8" s="282">
        <f>G8*15</f>
        <v>15</v>
      </c>
      <c r="J8" s="282">
        <v>0</v>
      </c>
      <c r="K8" s="282">
        <f t="shared" si="0"/>
        <v>68</v>
      </c>
    </row>
    <row r="9" spans="1:11">
      <c r="A9" s="33"/>
      <c r="B9" s="442"/>
      <c r="C9" s="13" t="s">
        <v>79</v>
      </c>
      <c r="D9" s="47">
        <v>10</v>
      </c>
      <c r="E9" s="7">
        <f>D9*D1/1000</f>
        <v>0</v>
      </c>
      <c r="F9" s="75" t="s">
        <v>81</v>
      </c>
      <c r="G9" s="282"/>
      <c r="H9" s="282"/>
      <c r="I9" s="282"/>
      <c r="J9" s="282"/>
      <c r="K9" s="282">
        <f t="shared" si="0"/>
        <v>0</v>
      </c>
    </row>
    <row r="10" spans="1:11">
      <c r="A10" s="33"/>
      <c r="B10" s="442"/>
      <c r="C10" s="14" t="s">
        <v>224</v>
      </c>
      <c r="D10" s="47">
        <v>3</v>
      </c>
      <c r="E10" s="7">
        <f>D10*D1/1000</f>
        <v>0</v>
      </c>
      <c r="F10" s="76" t="s">
        <v>81</v>
      </c>
      <c r="G10" s="282"/>
      <c r="H10" s="282"/>
      <c r="I10" s="282"/>
      <c r="J10" s="282"/>
      <c r="K10" s="282">
        <f t="shared" si="0"/>
        <v>0</v>
      </c>
    </row>
    <row r="11" spans="1:11">
      <c r="A11" s="33"/>
      <c r="B11" s="442"/>
      <c r="C11" s="14" t="s">
        <v>225</v>
      </c>
      <c r="D11" s="47">
        <v>1</v>
      </c>
      <c r="E11" s="7">
        <f>D11*D1/1000</f>
        <v>0</v>
      </c>
      <c r="F11" s="77" t="s">
        <v>24</v>
      </c>
      <c r="G11" s="282"/>
      <c r="H11" s="282"/>
      <c r="I11" s="282"/>
      <c r="J11" s="282"/>
      <c r="K11" s="282"/>
    </row>
    <row r="12" spans="1:11">
      <c r="A12" s="33"/>
      <c r="B12" s="442"/>
      <c r="C12" s="14" t="s">
        <v>226</v>
      </c>
      <c r="D12" s="47">
        <v>0.5</v>
      </c>
      <c r="E12" s="7">
        <f>D12*D1/1000</f>
        <v>0</v>
      </c>
      <c r="F12" s="77" t="s">
        <v>24</v>
      </c>
      <c r="G12" s="282"/>
      <c r="H12" s="282"/>
      <c r="I12" s="282"/>
      <c r="J12" s="282"/>
      <c r="K12" s="282"/>
    </row>
    <row r="13" spans="1:11">
      <c r="A13" s="33"/>
      <c r="B13" s="442"/>
      <c r="C13" s="14" t="s">
        <v>258</v>
      </c>
      <c r="D13" s="47">
        <v>5</v>
      </c>
      <c r="E13" s="8">
        <f>D13*D1/1000</f>
        <v>0</v>
      </c>
      <c r="F13" s="77" t="s">
        <v>24</v>
      </c>
      <c r="G13" s="282"/>
      <c r="H13" s="282"/>
      <c r="I13" s="282"/>
      <c r="J13" s="282"/>
      <c r="K13" s="282"/>
    </row>
    <row r="14" spans="1:11">
      <c r="A14" s="33"/>
      <c r="B14" s="442"/>
      <c r="C14" s="14" t="s">
        <v>271</v>
      </c>
      <c r="D14" s="47">
        <v>10</v>
      </c>
      <c r="E14" s="7">
        <f>D14*D1/1000</f>
        <v>0</v>
      </c>
      <c r="F14" s="75" t="s">
        <v>112</v>
      </c>
      <c r="G14" s="282">
        <v>0.25</v>
      </c>
      <c r="H14" s="282">
        <f>G14*7</f>
        <v>1.75</v>
      </c>
      <c r="I14" s="282"/>
      <c r="J14" s="282">
        <f>G14*3</f>
        <v>0.75</v>
      </c>
      <c r="K14" s="282">
        <f t="shared" ref="K14:K28" si="1">H14*4+I14*4+J14*9</f>
        <v>13.75</v>
      </c>
    </row>
    <row r="15" spans="1:11">
      <c r="A15" s="33"/>
      <c r="B15" s="442"/>
      <c r="C15" s="14" t="s">
        <v>540</v>
      </c>
      <c r="D15" s="47">
        <v>35</v>
      </c>
      <c r="E15" s="7">
        <f>D15*D1/1000</f>
        <v>0</v>
      </c>
      <c r="F15" s="75" t="s">
        <v>112</v>
      </c>
      <c r="G15" s="282">
        <f>D15/35</f>
        <v>1</v>
      </c>
      <c r="H15" s="282">
        <f>G15*7</f>
        <v>7</v>
      </c>
      <c r="I15" s="282"/>
      <c r="J15" s="282">
        <f>G15*5</f>
        <v>5</v>
      </c>
      <c r="K15" s="282">
        <f t="shared" si="1"/>
        <v>73</v>
      </c>
    </row>
    <row r="16" spans="1:11">
      <c r="A16" s="33"/>
      <c r="B16" s="443"/>
      <c r="C16" s="14" t="s">
        <v>195</v>
      </c>
      <c r="D16" s="47">
        <v>6</v>
      </c>
      <c r="E16" s="7">
        <f>D16*D1/1000</f>
        <v>0</v>
      </c>
      <c r="F16" s="75" t="s">
        <v>110</v>
      </c>
      <c r="G16" s="287">
        <f>D16/5</f>
        <v>1.2</v>
      </c>
      <c r="H16" s="287">
        <f>0</f>
        <v>0</v>
      </c>
      <c r="I16" s="287">
        <f>G16*0</f>
        <v>0</v>
      </c>
      <c r="J16" s="287">
        <f>G16*5</f>
        <v>6</v>
      </c>
      <c r="K16" s="282">
        <f t="shared" si="1"/>
        <v>54</v>
      </c>
    </row>
    <row r="17" spans="1:12">
      <c r="A17" s="33"/>
      <c r="B17" s="465" t="s">
        <v>272</v>
      </c>
      <c r="C17" s="13" t="s">
        <v>273</v>
      </c>
      <c r="D17" s="9">
        <v>30</v>
      </c>
      <c r="E17" s="8">
        <f>D17*D1/1000</f>
        <v>0</v>
      </c>
      <c r="F17" s="76" t="s">
        <v>88</v>
      </c>
      <c r="G17" s="283">
        <f>D17/35</f>
        <v>0.8571428571428571</v>
      </c>
      <c r="H17" s="282">
        <f>G17*2</f>
        <v>1.7142857142857142</v>
      </c>
      <c r="I17" s="282">
        <f>G17*15</f>
        <v>12.857142857142856</v>
      </c>
      <c r="J17" s="282"/>
      <c r="K17" s="282">
        <f t="shared" si="1"/>
        <v>58.285714285714278</v>
      </c>
    </row>
    <row r="18" spans="1:12">
      <c r="A18" s="33"/>
      <c r="B18" s="463"/>
      <c r="C18" s="14" t="s">
        <v>111</v>
      </c>
      <c r="D18" s="31">
        <v>0.5</v>
      </c>
      <c r="E18" s="8">
        <f>D18*D1/1000</f>
        <v>0</v>
      </c>
      <c r="F18" s="76" t="s">
        <v>81</v>
      </c>
      <c r="G18" s="282"/>
      <c r="H18" s="282"/>
      <c r="I18" s="282"/>
      <c r="J18" s="282"/>
      <c r="K18" s="282">
        <f t="shared" si="1"/>
        <v>0</v>
      </c>
    </row>
    <row r="19" spans="1:12">
      <c r="A19" s="33" t="s">
        <v>1</v>
      </c>
      <c r="B19" s="463"/>
      <c r="C19" s="14" t="s">
        <v>234</v>
      </c>
      <c r="D19" s="31">
        <v>5</v>
      </c>
      <c r="E19" s="8">
        <f>D19*D1/1000</f>
        <v>0</v>
      </c>
      <c r="F19" s="78" t="s">
        <v>110</v>
      </c>
      <c r="G19" s="287">
        <f>D19/13</f>
        <v>0.38461538461538464</v>
      </c>
      <c r="H19" s="287">
        <f>0</f>
        <v>0</v>
      </c>
      <c r="I19" s="287">
        <f>G19*0</f>
        <v>0</v>
      </c>
      <c r="J19" s="287">
        <f>G19*5</f>
        <v>1.9230769230769231</v>
      </c>
      <c r="K19" s="282">
        <f t="shared" ref="K19" si="2">H19*4+I19*4+J19*9</f>
        <v>17.307692307692307</v>
      </c>
    </row>
    <row r="20" spans="1:12">
      <c r="A20" s="33"/>
      <c r="B20" s="457" t="s">
        <v>682</v>
      </c>
      <c r="C20" s="14" t="s">
        <v>52</v>
      </c>
      <c r="D20" s="58">
        <v>0.5</v>
      </c>
      <c r="E20" s="8">
        <f>D20*D1/1000</f>
        <v>0</v>
      </c>
      <c r="F20" s="76"/>
      <c r="G20" s="283"/>
      <c r="H20" s="282"/>
      <c r="I20" s="282"/>
      <c r="J20" s="282"/>
      <c r="K20" s="282">
        <f t="shared" si="1"/>
        <v>0</v>
      </c>
    </row>
    <row r="21" spans="1:12">
      <c r="A21" s="33"/>
      <c r="B21" s="457"/>
      <c r="C21" s="14" t="s">
        <v>693</v>
      </c>
      <c r="D21" s="31">
        <v>40</v>
      </c>
      <c r="E21" s="7">
        <f>D21*D1/1000</f>
        <v>0</v>
      </c>
      <c r="F21" s="75" t="s">
        <v>81</v>
      </c>
      <c r="G21" s="282">
        <f>D21/100</f>
        <v>0.4</v>
      </c>
      <c r="H21" s="282">
        <f>1*G21</f>
        <v>0.4</v>
      </c>
      <c r="I21" s="282">
        <f>G21*5</f>
        <v>2</v>
      </c>
      <c r="J21" s="282">
        <f>0</f>
        <v>0</v>
      </c>
      <c r="K21" s="282">
        <f t="shared" si="1"/>
        <v>9.6</v>
      </c>
    </row>
    <row r="22" spans="1:12">
      <c r="A22" s="33"/>
      <c r="B22" s="452"/>
      <c r="C22" s="59" t="s">
        <v>183</v>
      </c>
      <c r="D22" s="60">
        <v>3</v>
      </c>
      <c r="E22" s="8">
        <f>D22*D1/1000</f>
        <v>0</v>
      </c>
      <c r="F22" s="75" t="s">
        <v>110</v>
      </c>
      <c r="G22" s="287">
        <f>D22/5</f>
        <v>0.6</v>
      </c>
      <c r="H22" s="287">
        <f>0</f>
        <v>0</v>
      </c>
      <c r="I22" s="287">
        <f>G22*0</f>
        <v>0</v>
      </c>
      <c r="J22" s="287">
        <f>G22*5</f>
        <v>3</v>
      </c>
      <c r="K22" s="282">
        <f t="shared" si="1"/>
        <v>27</v>
      </c>
    </row>
    <row r="23" spans="1:12">
      <c r="A23" s="33"/>
      <c r="B23" s="35"/>
      <c r="C23" s="61" t="s">
        <v>274</v>
      </c>
      <c r="D23" s="60">
        <v>10</v>
      </c>
      <c r="E23" s="7">
        <f>D23*D1/1000</f>
        <v>0</v>
      </c>
      <c r="F23" s="75" t="s">
        <v>81</v>
      </c>
      <c r="G23" s="282">
        <v>0.3</v>
      </c>
      <c r="H23" s="282">
        <f>1*G23</f>
        <v>0.3</v>
      </c>
      <c r="I23" s="282">
        <f>G23*5</f>
        <v>1.5</v>
      </c>
      <c r="J23" s="282">
        <f>0</f>
        <v>0</v>
      </c>
      <c r="K23" s="282">
        <f t="shared" si="1"/>
        <v>7.2</v>
      </c>
    </row>
    <row r="24" spans="1:12">
      <c r="A24" s="34"/>
      <c r="B24" s="36" t="s">
        <v>275</v>
      </c>
      <c r="C24" s="61" t="s">
        <v>200</v>
      </c>
      <c r="D24" s="60">
        <v>10</v>
      </c>
      <c r="E24" s="7">
        <f>D24*D1/1000</f>
        <v>0</v>
      </c>
      <c r="F24" s="75"/>
      <c r="G24" s="282"/>
      <c r="H24" s="282"/>
      <c r="I24" s="282"/>
      <c r="J24" s="282"/>
      <c r="K24" s="282">
        <f t="shared" si="1"/>
        <v>0</v>
      </c>
    </row>
    <row r="25" spans="1:12">
      <c r="A25" s="33"/>
      <c r="B25" s="500" t="s">
        <v>169</v>
      </c>
      <c r="C25" s="14" t="s">
        <v>193</v>
      </c>
      <c r="D25" s="9">
        <v>20</v>
      </c>
      <c r="E25" s="7">
        <f>D25*D1/1000</f>
        <v>0</v>
      </c>
      <c r="F25" s="175" t="s">
        <v>88</v>
      </c>
      <c r="G25" s="282">
        <f>D25/55</f>
        <v>0.36363636363636365</v>
      </c>
      <c r="H25" s="282">
        <f>G25*2</f>
        <v>0.72727272727272729</v>
      </c>
      <c r="I25" s="282">
        <f>G25*15</f>
        <v>5.454545454545455</v>
      </c>
      <c r="J25" s="282">
        <v>0</v>
      </c>
      <c r="K25" s="282">
        <f t="shared" si="1"/>
        <v>24.72727272727273</v>
      </c>
      <c r="L25" s="228"/>
    </row>
    <row r="26" spans="1:12">
      <c r="A26" s="33" t="s">
        <v>2</v>
      </c>
      <c r="B26" s="500"/>
      <c r="C26" s="14" t="s">
        <v>324</v>
      </c>
      <c r="D26" s="31">
        <v>10</v>
      </c>
      <c r="E26" s="7">
        <f>D26*D1/1000</f>
        <v>0</v>
      </c>
      <c r="F26" s="175" t="s">
        <v>88</v>
      </c>
      <c r="G26" s="282">
        <f>D26/30</f>
        <v>0.33333333333333331</v>
      </c>
      <c r="H26" s="282">
        <f>G26*2</f>
        <v>0.66666666666666663</v>
      </c>
      <c r="I26" s="282">
        <f>G26*15</f>
        <v>5</v>
      </c>
      <c r="J26" s="282">
        <v>0</v>
      </c>
      <c r="K26" s="282">
        <f t="shared" si="1"/>
        <v>22.666666666666668</v>
      </c>
    </row>
    <row r="27" spans="1:12">
      <c r="A27" s="33"/>
      <c r="B27" s="500"/>
      <c r="C27" s="14" t="s">
        <v>87</v>
      </c>
      <c r="D27" s="9">
        <v>10</v>
      </c>
      <c r="E27" s="7">
        <f>D27*D1/1000</f>
        <v>0</v>
      </c>
      <c r="F27" s="77" t="s">
        <v>24</v>
      </c>
      <c r="G27" s="282">
        <f>D27</f>
        <v>10</v>
      </c>
      <c r="H27" s="282">
        <v>0</v>
      </c>
      <c r="I27" s="282">
        <f>G27*1</f>
        <v>10</v>
      </c>
      <c r="J27" s="282"/>
      <c r="K27" s="282">
        <f t="shared" si="1"/>
        <v>40</v>
      </c>
    </row>
    <row r="28" spans="1:12">
      <c r="A28" s="34"/>
      <c r="B28" s="63" t="s">
        <v>627</v>
      </c>
      <c r="C28" s="14" t="s">
        <v>628</v>
      </c>
      <c r="D28" s="190"/>
      <c r="E28" s="7"/>
      <c r="F28" s="186" t="s">
        <v>8</v>
      </c>
      <c r="G28" s="282">
        <v>1</v>
      </c>
      <c r="H28" s="282">
        <f>G28*0</f>
        <v>0</v>
      </c>
      <c r="I28" s="282">
        <f>G28*15</f>
        <v>15</v>
      </c>
      <c r="J28" s="282">
        <f>G28*0</f>
        <v>0</v>
      </c>
      <c r="K28" s="282">
        <f t="shared" si="1"/>
        <v>60</v>
      </c>
    </row>
    <row r="29" spans="1:12" ht="21">
      <c r="A29" s="487" t="s">
        <v>499</v>
      </c>
      <c r="B29" s="487"/>
      <c r="C29" s="234"/>
      <c r="D29" s="235"/>
      <c r="E29" s="235"/>
      <c r="F29" s="236"/>
      <c r="G29" s="236"/>
      <c r="H29" s="211">
        <f>SUM(H3:H28)</f>
        <v>27.35822510822511</v>
      </c>
      <c r="I29" s="211">
        <f>SUM(I3:I28)</f>
        <v>95.811688311688314</v>
      </c>
      <c r="J29" s="211">
        <f>SUM(J3:J28)</f>
        <v>22.673076923076923</v>
      </c>
      <c r="K29" s="211">
        <f>SUM(K3:K28)</f>
        <v>696.73734598734598</v>
      </c>
    </row>
    <row r="30" spans="1:12" ht="19.5">
      <c r="A30" s="461" t="s">
        <v>537</v>
      </c>
      <c r="B30" s="462"/>
      <c r="C30" s="261"/>
      <c r="D30" s="261"/>
      <c r="E30" s="261"/>
      <c r="F30" s="262"/>
      <c r="G30" s="262"/>
      <c r="H30" s="258">
        <f>+H29*4/K29</f>
        <v>0.15706478354167044</v>
      </c>
      <c r="I30" s="257">
        <f>+I29*4/K29</f>
        <v>0.55005915134871175</v>
      </c>
      <c r="J30" s="257">
        <f>+J29*9/K29</f>
        <v>0.29287606510961789</v>
      </c>
      <c r="K30" s="257">
        <f>+H30+I30+J30</f>
        <v>1</v>
      </c>
    </row>
  </sheetData>
  <mergeCells count="10">
    <mergeCell ref="A30:B30"/>
    <mergeCell ref="A29:B29"/>
    <mergeCell ref="B25:B27"/>
    <mergeCell ref="B20:B22"/>
    <mergeCell ref="A1:B1"/>
    <mergeCell ref="F1:K1"/>
    <mergeCell ref="B3:B6"/>
    <mergeCell ref="B17:B19"/>
    <mergeCell ref="B8:B16"/>
    <mergeCell ref="A3:A7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5" zoomScale="70" zoomScaleNormal="70" workbookViewId="0">
      <selection activeCell="B17" sqref="B17:B18"/>
    </sheetView>
  </sheetViews>
  <sheetFormatPr defaultRowHeight="16.5"/>
  <cols>
    <col min="1" max="1" width="5.5" customWidth="1"/>
    <col min="2" max="2" width="11.5" customWidth="1"/>
    <col min="3" max="3" width="12.25" customWidth="1"/>
    <col min="4" max="4" width="6.375" customWidth="1"/>
    <col min="5" max="5" width="8.75" customWidth="1"/>
    <col min="6" max="6" width="5.5" customWidth="1"/>
    <col min="7" max="7" width="6.625" customWidth="1"/>
    <col min="8" max="8" width="10" customWidth="1"/>
    <col min="10" max="10" width="7.75" customWidth="1"/>
    <col min="11" max="11" width="8.375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 ht="19.5">
      <c r="A2" s="23" t="s">
        <v>327</v>
      </c>
      <c r="B2" s="92" t="s">
        <v>17</v>
      </c>
      <c r="C2" s="72" t="s">
        <v>18</v>
      </c>
      <c r="D2" s="73" t="s">
        <v>20</v>
      </c>
      <c r="E2" s="71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38" t="s">
        <v>0</v>
      </c>
      <c r="B3" s="179" t="s">
        <v>501</v>
      </c>
      <c r="C3" s="12" t="s">
        <v>129</v>
      </c>
      <c r="D3" s="58">
        <v>120</v>
      </c>
      <c r="E3" s="7">
        <f>D3*D1/1000</f>
        <v>0</v>
      </c>
      <c r="F3" s="78" t="s">
        <v>75</v>
      </c>
      <c r="G3" s="251">
        <f>D3/240</f>
        <v>0.5</v>
      </c>
      <c r="H3" s="221">
        <f>G3*8</f>
        <v>4</v>
      </c>
      <c r="I3" s="221">
        <f>G3*12</f>
        <v>6</v>
      </c>
      <c r="J3" s="221">
        <f>G3*4</f>
        <v>2</v>
      </c>
      <c r="K3" s="221">
        <f>H3*4+I3*4+J3*9</f>
        <v>58</v>
      </c>
    </row>
    <row r="4" spans="1:11">
      <c r="A4" s="455"/>
      <c r="B4" s="94" t="s">
        <v>318</v>
      </c>
      <c r="C4" s="96" t="s">
        <v>318</v>
      </c>
      <c r="D4" s="9" t="s">
        <v>319</v>
      </c>
      <c r="E4" s="7"/>
      <c r="F4" s="78" t="s">
        <v>88</v>
      </c>
      <c r="G4" s="251">
        <v>2</v>
      </c>
      <c r="H4" s="251">
        <f>G4*2</f>
        <v>4</v>
      </c>
      <c r="I4" s="221">
        <f>G4*15</f>
        <v>30</v>
      </c>
      <c r="J4" s="221">
        <v>0</v>
      </c>
      <c r="K4" s="221">
        <f>H4*4+I4*4+J4*9</f>
        <v>136</v>
      </c>
    </row>
    <row r="5" spans="1:11">
      <c r="A5" s="440" t="s">
        <v>1</v>
      </c>
      <c r="B5" s="35" t="s">
        <v>299</v>
      </c>
      <c r="C5" s="14" t="s">
        <v>28</v>
      </c>
      <c r="D5" s="47">
        <v>40</v>
      </c>
      <c r="E5" s="7">
        <f>D5*D1/1000</f>
        <v>0</v>
      </c>
      <c r="F5" s="75" t="s">
        <v>88</v>
      </c>
      <c r="G5" s="246">
        <v>2</v>
      </c>
      <c r="H5" s="246">
        <f>G5*2</f>
        <v>4</v>
      </c>
      <c r="I5" s="246">
        <f>G5*15</f>
        <v>30</v>
      </c>
      <c r="J5" s="246">
        <v>0</v>
      </c>
      <c r="K5" s="246">
        <f>H5*4+I5*4+J5*9</f>
        <v>136</v>
      </c>
    </row>
    <row r="6" spans="1:11">
      <c r="A6" s="434"/>
      <c r="B6" s="458" t="s">
        <v>167</v>
      </c>
      <c r="C6" s="13" t="s">
        <v>320</v>
      </c>
      <c r="D6" s="31">
        <v>50</v>
      </c>
      <c r="E6" s="7">
        <f>D6*D1/1000</f>
        <v>0</v>
      </c>
      <c r="F6" s="76" t="s">
        <v>112</v>
      </c>
      <c r="G6" s="225">
        <f>D6/50</f>
        <v>1</v>
      </c>
      <c r="H6" s="221">
        <f>G6*7</f>
        <v>7</v>
      </c>
      <c r="I6" s="221"/>
      <c r="J6" s="221">
        <f>G6*5</f>
        <v>5</v>
      </c>
      <c r="K6" s="221">
        <f>H6*4+I6*4+J6*9</f>
        <v>73</v>
      </c>
    </row>
    <row r="7" spans="1:11">
      <c r="A7" s="434"/>
      <c r="B7" s="459"/>
      <c r="C7" s="14" t="s">
        <v>59</v>
      </c>
      <c r="D7" s="31">
        <v>0.5</v>
      </c>
      <c r="E7" s="7">
        <f>D7*D1/1000</f>
        <v>0</v>
      </c>
      <c r="F7" s="77" t="s">
        <v>24</v>
      </c>
      <c r="G7" s="221"/>
      <c r="H7" s="221"/>
      <c r="I7" s="221"/>
      <c r="J7" s="221"/>
      <c r="K7" s="221"/>
    </row>
    <row r="8" spans="1:11">
      <c r="A8" s="434"/>
      <c r="B8" s="459"/>
      <c r="C8" s="14" t="s">
        <v>36</v>
      </c>
      <c r="D8" s="31">
        <v>2</v>
      </c>
      <c r="E8" s="7">
        <f>D8*D1/1000</f>
        <v>0</v>
      </c>
      <c r="F8" s="175" t="s">
        <v>81</v>
      </c>
      <c r="G8" s="221">
        <v>0.02</v>
      </c>
      <c r="H8" s="221">
        <f>1*G8</f>
        <v>0.02</v>
      </c>
      <c r="I8" s="221">
        <f>G8*5</f>
        <v>0.1</v>
      </c>
      <c r="J8" s="221">
        <f>0</f>
        <v>0</v>
      </c>
      <c r="K8" s="221">
        <f>H8*4+I8*4+J8*9</f>
        <v>0.48000000000000004</v>
      </c>
    </row>
    <row r="9" spans="1:11">
      <c r="A9" s="434"/>
      <c r="B9" s="459"/>
      <c r="C9" s="14" t="s">
        <v>225</v>
      </c>
      <c r="D9" s="31">
        <v>1</v>
      </c>
      <c r="E9" s="7">
        <f>D9*D1/1000</f>
        <v>0</v>
      </c>
      <c r="F9" s="77" t="s">
        <v>24</v>
      </c>
      <c r="G9" s="221"/>
      <c r="H9" s="221"/>
      <c r="I9" s="221"/>
      <c r="J9" s="221"/>
      <c r="K9" s="221"/>
    </row>
    <row r="10" spans="1:11" s="182" customFormat="1">
      <c r="A10" s="434"/>
      <c r="B10" s="460"/>
      <c r="C10" s="14" t="s">
        <v>61</v>
      </c>
      <c r="D10" s="31">
        <v>3</v>
      </c>
      <c r="E10" s="7">
        <f>D10*D1/1000</f>
        <v>0</v>
      </c>
      <c r="F10" s="186" t="s">
        <v>110</v>
      </c>
      <c r="G10" s="229">
        <f>D10/5</f>
        <v>0.6</v>
      </c>
      <c r="H10" s="229">
        <f>0</f>
        <v>0</v>
      </c>
      <c r="I10" s="229">
        <f>G10*0</f>
        <v>0</v>
      </c>
      <c r="J10" s="229">
        <f>G10*5</f>
        <v>3</v>
      </c>
      <c r="K10" s="221">
        <f t="shared" ref="K10" si="0">H10*4+I10*4+J10*9</f>
        <v>27</v>
      </c>
    </row>
    <row r="11" spans="1:11">
      <c r="A11" s="434"/>
      <c r="B11" s="500" t="s">
        <v>168</v>
      </c>
      <c r="C11" s="14" t="s">
        <v>127</v>
      </c>
      <c r="D11" s="31">
        <v>20</v>
      </c>
      <c r="E11" s="7">
        <f>D11*D1/1000</f>
        <v>0</v>
      </c>
      <c r="F11" s="75" t="s">
        <v>88</v>
      </c>
      <c r="G11" s="225">
        <f>D11/85</f>
        <v>0.23529411764705882</v>
      </c>
      <c r="H11" s="246">
        <f>G11*2</f>
        <v>0.47058823529411764</v>
      </c>
      <c r="I11" s="246">
        <f>G11*15</f>
        <v>3.5294117647058822</v>
      </c>
      <c r="J11" s="246">
        <v>0</v>
      </c>
      <c r="K11" s="246">
        <f>H11*4+I11*4+J11*9</f>
        <v>16</v>
      </c>
    </row>
    <row r="12" spans="1:11">
      <c r="A12" s="434"/>
      <c r="B12" s="500"/>
      <c r="C12" s="14" t="s">
        <v>321</v>
      </c>
      <c r="D12" s="31">
        <v>2</v>
      </c>
      <c r="E12" s="7">
        <f>D12*D1/1000</f>
        <v>0</v>
      </c>
      <c r="F12" s="75" t="s">
        <v>81</v>
      </c>
      <c r="G12" s="221">
        <v>0.02</v>
      </c>
      <c r="H12" s="221">
        <f>1*G12</f>
        <v>0.02</v>
      </c>
      <c r="I12" s="221">
        <f>G12*5</f>
        <v>0.1</v>
      </c>
      <c r="J12" s="221">
        <f>0</f>
        <v>0</v>
      </c>
      <c r="K12" s="221">
        <f>H12*4+I12*4+J12*9</f>
        <v>0.48000000000000004</v>
      </c>
    </row>
    <row r="13" spans="1:11">
      <c r="A13" s="434"/>
      <c r="B13" s="500"/>
      <c r="C13" s="14" t="s">
        <v>302</v>
      </c>
      <c r="D13" s="31">
        <v>5</v>
      </c>
      <c r="E13" s="7">
        <f>D13*D1/1000</f>
        <v>0</v>
      </c>
      <c r="F13" s="75" t="s">
        <v>88</v>
      </c>
      <c r="G13" s="221">
        <f>D13/50</f>
        <v>0.1</v>
      </c>
      <c r="H13" s="246">
        <f>G13*2</f>
        <v>0.2</v>
      </c>
      <c r="I13" s="246">
        <f>G13*15</f>
        <v>1.5</v>
      </c>
      <c r="J13" s="246">
        <v>0</v>
      </c>
      <c r="K13" s="246">
        <f>H13*4+I13*4+J13*9</f>
        <v>6.8</v>
      </c>
    </row>
    <row r="14" spans="1:11">
      <c r="A14" s="434"/>
      <c r="B14" s="500"/>
      <c r="C14" s="14" t="s">
        <v>184</v>
      </c>
      <c r="D14" s="31">
        <v>15</v>
      </c>
      <c r="E14" s="7">
        <f>D14*D1/1000</f>
        <v>0</v>
      </c>
      <c r="F14" s="75" t="s">
        <v>112</v>
      </c>
      <c r="G14" s="221">
        <f>D14/55</f>
        <v>0.27272727272727271</v>
      </c>
      <c r="H14" s="221">
        <f>G14*7</f>
        <v>1.9090909090909089</v>
      </c>
      <c r="I14" s="221"/>
      <c r="J14" s="221">
        <f>G14*5</f>
        <v>1.3636363636363635</v>
      </c>
      <c r="K14" s="221">
        <f>H14*4+I14*4+J14*9</f>
        <v>19.909090909090907</v>
      </c>
    </row>
    <row r="15" spans="1:11">
      <c r="A15" s="434"/>
      <c r="B15" s="500"/>
      <c r="C15" s="14" t="s">
        <v>225</v>
      </c>
      <c r="D15" s="31">
        <v>1</v>
      </c>
      <c r="E15" s="7">
        <f>D15*D1/1000</f>
        <v>0</v>
      </c>
      <c r="F15" s="77" t="s">
        <v>24</v>
      </c>
      <c r="G15" s="221"/>
      <c r="H15" s="221"/>
      <c r="I15" s="221"/>
      <c r="J15" s="221"/>
      <c r="K15" s="221"/>
    </row>
    <row r="16" spans="1:11">
      <c r="A16" s="434"/>
      <c r="B16" s="500"/>
      <c r="C16" s="14" t="s">
        <v>61</v>
      </c>
      <c r="D16" s="31">
        <v>5</v>
      </c>
      <c r="E16" s="7">
        <f>D16*D1/1000</f>
        <v>0</v>
      </c>
      <c r="F16" s="75" t="s">
        <v>110</v>
      </c>
      <c r="G16" s="229">
        <f>D16/5</f>
        <v>1</v>
      </c>
      <c r="H16" s="229">
        <f>0</f>
        <v>0</v>
      </c>
      <c r="I16" s="229">
        <f>G16*0</f>
        <v>0</v>
      </c>
      <c r="J16" s="229">
        <f>G16*5</f>
        <v>5</v>
      </c>
      <c r="K16" s="221">
        <f t="shared" ref="K16:K19" si="1">H16*4+I16*4+J16*9</f>
        <v>45</v>
      </c>
    </row>
    <row r="17" spans="1:23">
      <c r="A17" s="434"/>
      <c r="B17" s="500" t="s">
        <v>695</v>
      </c>
      <c r="C17" s="14" t="s">
        <v>696</v>
      </c>
      <c r="D17" s="31">
        <v>40</v>
      </c>
      <c r="E17" s="7">
        <f>D17*D1/1000</f>
        <v>0</v>
      </c>
      <c r="F17" s="75" t="s">
        <v>81</v>
      </c>
      <c r="G17" s="221">
        <v>0.5</v>
      </c>
      <c r="H17" s="221">
        <f>1*G17</f>
        <v>0.5</v>
      </c>
      <c r="I17" s="221">
        <f>G17*5</f>
        <v>2.5</v>
      </c>
      <c r="J17" s="221">
        <f>0</f>
        <v>0</v>
      </c>
      <c r="K17" s="221">
        <f t="shared" si="1"/>
        <v>12</v>
      </c>
    </row>
    <row r="18" spans="1:23">
      <c r="A18" s="434"/>
      <c r="B18" s="500"/>
      <c r="C18" s="14" t="s">
        <v>61</v>
      </c>
      <c r="D18" s="31">
        <v>3</v>
      </c>
      <c r="E18" s="7">
        <f>D18*D1/1000</f>
        <v>0</v>
      </c>
      <c r="F18" s="75" t="s">
        <v>110</v>
      </c>
      <c r="G18" s="229">
        <f>D18/5</f>
        <v>0.6</v>
      </c>
      <c r="H18" s="229">
        <f>0</f>
        <v>0</v>
      </c>
      <c r="I18" s="229">
        <f>G18*0</f>
        <v>0</v>
      </c>
      <c r="J18" s="229">
        <f>G18*5</f>
        <v>3</v>
      </c>
      <c r="K18" s="221">
        <f t="shared" si="1"/>
        <v>27</v>
      </c>
    </row>
    <row r="19" spans="1:23">
      <c r="A19" s="434"/>
      <c r="B19" s="500" t="s">
        <v>322</v>
      </c>
      <c r="C19" s="74" t="s">
        <v>113</v>
      </c>
      <c r="D19" s="2">
        <v>20</v>
      </c>
      <c r="E19" s="7">
        <f>D19*D1/1000</f>
        <v>0</v>
      </c>
      <c r="F19" s="75" t="s">
        <v>81</v>
      </c>
      <c r="G19" s="221">
        <v>0.2</v>
      </c>
      <c r="H19" s="221">
        <f>1*G19</f>
        <v>0.2</v>
      </c>
      <c r="I19" s="221">
        <f>G19*5</f>
        <v>1</v>
      </c>
      <c r="J19" s="221">
        <f>0</f>
        <v>0</v>
      </c>
      <c r="K19" s="221">
        <f t="shared" si="1"/>
        <v>4.8</v>
      </c>
    </row>
    <row r="20" spans="1:23">
      <c r="A20" s="434"/>
      <c r="B20" s="500"/>
      <c r="C20" s="14" t="s">
        <v>53</v>
      </c>
      <c r="D20" s="31">
        <v>10</v>
      </c>
      <c r="E20" s="8">
        <f>D20*D1/1000</f>
        <v>0</v>
      </c>
      <c r="F20" s="175" t="s">
        <v>81</v>
      </c>
      <c r="G20" s="221">
        <f>D20/100</f>
        <v>0.1</v>
      </c>
      <c r="H20" s="221">
        <f>1*G20</f>
        <v>0.1</v>
      </c>
      <c r="I20" s="221">
        <f>G20*5</f>
        <v>0.5</v>
      </c>
      <c r="J20" s="221">
        <f>0</f>
        <v>0</v>
      </c>
      <c r="K20" s="221">
        <f t="shared" ref="K20" si="2">H20*4+I20*4+J20*9</f>
        <v>2.4</v>
      </c>
    </row>
    <row r="21" spans="1:23">
      <c r="A21" s="434"/>
      <c r="B21" s="500"/>
      <c r="C21" s="14" t="s">
        <v>52</v>
      </c>
      <c r="D21" s="31">
        <v>0.5</v>
      </c>
      <c r="E21" s="8">
        <f>D21*D1/1000</f>
        <v>0</v>
      </c>
      <c r="F21" s="77" t="s">
        <v>24</v>
      </c>
      <c r="G21" s="221"/>
      <c r="H21" s="221"/>
      <c r="I21" s="221"/>
      <c r="J21" s="221"/>
      <c r="K21" s="221"/>
    </row>
    <row r="22" spans="1:23">
      <c r="A22" s="434"/>
      <c r="B22" s="500"/>
      <c r="C22" s="14" t="s">
        <v>23</v>
      </c>
      <c r="D22" s="31"/>
      <c r="E22" s="7">
        <f>D22*D1/1000</f>
        <v>0</v>
      </c>
      <c r="F22" s="78"/>
      <c r="G22" s="221"/>
      <c r="H22" s="221"/>
      <c r="I22" s="221"/>
      <c r="J22" s="221"/>
      <c r="K22" s="221">
        <f>H22*4+I22*4+J22*9</f>
        <v>0</v>
      </c>
    </row>
    <row r="23" spans="1:23">
      <c r="A23" s="434"/>
      <c r="B23" s="500"/>
      <c r="C23" s="14" t="s">
        <v>224</v>
      </c>
      <c r="D23" s="31">
        <v>1</v>
      </c>
      <c r="E23" s="7">
        <f>D23*D1/1000</f>
        <v>0</v>
      </c>
      <c r="F23" s="77" t="s">
        <v>24</v>
      </c>
      <c r="G23" s="221"/>
      <c r="H23" s="221"/>
      <c r="I23" s="221"/>
      <c r="J23" s="221"/>
      <c r="K23" s="221"/>
    </row>
    <row r="24" spans="1:23">
      <c r="A24" s="440" t="s">
        <v>2</v>
      </c>
      <c r="B24" s="484" t="s">
        <v>171</v>
      </c>
      <c r="C24" s="151" t="s">
        <v>237</v>
      </c>
      <c r="D24" s="54" t="s">
        <v>46</v>
      </c>
      <c r="E24" s="7"/>
      <c r="F24" s="82" t="s">
        <v>75</v>
      </c>
      <c r="G24" s="281">
        <v>0.5</v>
      </c>
      <c r="H24" s="281">
        <f>G24*8</f>
        <v>4</v>
      </c>
      <c r="I24" s="282">
        <f>G24*12</f>
        <v>6</v>
      </c>
      <c r="J24" s="282">
        <f>G24*4</f>
        <v>2</v>
      </c>
      <c r="K24" s="282">
        <f t="shared" ref="K24:K26" si="3">H24*4+I24*4+J24*9</f>
        <v>58</v>
      </c>
      <c r="M24" s="501"/>
      <c r="N24" s="311"/>
      <c r="O24" s="312"/>
      <c r="P24" s="51"/>
      <c r="Q24" s="313"/>
      <c r="R24" s="314"/>
      <c r="S24" s="314"/>
      <c r="T24" s="315"/>
      <c r="U24" s="315"/>
      <c r="V24" s="315"/>
      <c r="W24" s="21"/>
    </row>
    <row r="25" spans="1:23" s="173" customFormat="1">
      <c r="A25" s="434"/>
      <c r="B25" s="485"/>
      <c r="C25" s="151" t="s">
        <v>219</v>
      </c>
      <c r="D25" s="54"/>
      <c r="E25" s="7"/>
      <c r="F25" s="82" t="s">
        <v>88</v>
      </c>
      <c r="G25" s="281">
        <v>1</v>
      </c>
      <c r="H25" s="281">
        <v>2</v>
      </c>
      <c r="I25" s="282">
        <v>15</v>
      </c>
      <c r="J25" s="282">
        <v>0</v>
      </c>
      <c r="K25" s="282">
        <f t="shared" si="3"/>
        <v>68</v>
      </c>
      <c r="M25" s="501"/>
      <c r="N25" s="311"/>
      <c r="O25" s="312"/>
      <c r="P25" s="51"/>
      <c r="Q25" s="313"/>
      <c r="R25" s="314"/>
      <c r="S25" s="314"/>
      <c r="T25" s="315"/>
      <c r="U25" s="315"/>
      <c r="V25" s="315"/>
      <c r="W25" s="21"/>
    </row>
    <row r="26" spans="1:23">
      <c r="A26" s="434"/>
      <c r="B26" s="486"/>
      <c r="C26" s="152" t="s">
        <v>426</v>
      </c>
      <c r="D26" s="64" t="s">
        <v>182</v>
      </c>
      <c r="E26" s="8"/>
      <c r="F26" s="76"/>
      <c r="G26" s="283">
        <v>5</v>
      </c>
      <c r="H26" s="282"/>
      <c r="I26" s="282">
        <f>G26</f>
        <v>5</v>
      </c>
      <c r="J26" s="282"/>
      <c r="K26" s="282">
        <f t="shared" si="3"/>
        <v>20</v>
      </c>
      <c r="M26" s="501"/>
      <c r="N26" s="316"/>
      <c r="O26" s="317"/>
      <c r="P26" s="16"/>
      <c r="Q26" s="318"/>
      <c r="R26" s="319"/>
      <c r="S26" s="315"/>
      <c r="T26" s="315"/>
      <c r="U26" s="315"/>
      <c r="V26" s="315"/>
      <c r="W26" s="21"/>
    </row>
    <row r="27" spans="1:23" s="173" customFormat="1">
      <c r="A27" s="435"/>
      <c r="B27" s="63" t="s">
        <v>648</v>
      </c>
      <c r="C27" s="14" t="s">
        <v>649</v>
      </c>
      <c r="D27" s="190"/>
      <c r="E27" s="7"/>
      <c r="F27" s="186" t="s">
        <v>8</v>
      </c>
      <c r="G27" s="221">
        <v>1</v>
      </c>
      <c r="H27" s="221">
        <f>G27*0</f>
        <v>0</v>
      </c>
      <c r="I27" s="221">
        <f>G27*15</f>
        <v>15</v>
      </c>
      <c r="J27" s="221">
        <f>G27*0</f>
        <v>0</v>
      </c>
      <c r="K27" s="221">
        <f t="shared" ref="K27" si="4">H27*4+I27*4+J27*9</f>
        <v>60</v>
      </c>
    </row>
    <row r="28" spans="1:23" ht="21">
      <c r="A28" s="487" t="s">
        <v>499</v>
      </c>
      <c r="B28" s="487"/>
      <c r="C28" s="234"/>
      <c r="D28" s="235"/>
      <c r="E28" s="235"/>
      <c r="F28" s="236"/>
      <c r="G28" s="236"/>
      <c r="H28" s="211">
        <f>SUM(H3:H26)</f>
        <v>28.419679144385025</v>
      </c>
      <c r="I28" s="211">
        <f>SUM(I3:I26)</f>
        <v>101.22941176470587</v>
      </c>
      <c r="J28" s="211">
        <f>SUM(J3:J26)</f>
        <v>21.363636363636363</v>
      </c>
      <c r="K28" s="211">
        <f>SUM(K3:K26)</f>
        <v>710.86909090909091</v>
      </c>
    </row>
    <row r="29" spans="1:23" ht="19.5">
      <c r="A29" s="461" t="s">
        <v>537</v>
      </c>
      <c r="B29" s="462"/>
      <c r="C29" s="261"/>
      <c r="D29" s="261"/>
      <c r="E29" s="261"/>
      <c r="F29" s="262"/>
      <c r="G29" s="262"/>
      <c r="H29" s="258">
        <f>+H28*4/K28</f>
        <v>0.15991512084477147</v>
      </c>
      <c r="I29" s="257">
        <f>+I28*4/K28</f>
        <v>0.5696093025243183</v>
      </c>
      <c r="J29" s="257">
        <f>+J28*9/K28</f>
        <v>0.27047557663091021</v>
      </c>
      <c r="K29" s="257">
        <f>+H29+I29+J29</f>
        <v>1</v>
      </c>
    </row>
  </sheetData>
  <mergeCells count="13">
    <mergeCell ref="A29:B29"/>
    <mergeCell ref="B6:B10"/>
    <mergeCell ref="M24:M26"/>
    <mergeCell ref="B24:B26"/>
    <mergeCell ref="A28:B28"/>
    <mergeCell ref="A24:A27"/>
    <mergeCell ref="F1:K1"/>
    <mergeCell ref="A5:A23"/>
    <mergeCell ref="B11:B16"/>
    <mergeCell ref="B17:B18"/>
    <mergeCell ref="B19:B23"/>
    <mergeCell ref="A3:A4"/>
    <mergeCell ref="A1:B1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3" zoomScale="70" zoomScaleNormal="70" workbookViewId="0">
      <selection activeCell="B18" sqref="B18:B20"/>
    </sheetView>
  </sheetViews>
  <sheetFormatPr defaultRowHeight="16.5"/>
  <cols>
    <col min="1" max="1" width="5.5" customWidth="1"/>
    <col min="2" max="2" width="14.5" style="1" customWidth="1"/>
    <col min="3" max="3" width="13.625" style="159" customWidth="1"/>
    <col min="4" max="4" width="6.375" customWidth="1"/>
    <col min="5" max="5" width="9.375" customWidth="1"/>
    <col min="6" max="6" width="5.375" style="80" customWidth="1"/>
    <col min="7" max="7" width="8" style="80" customWidth="1"/>
    <col min="8" max="8" width="10" style="80" customWidth="1"/>
    <col min="9" max="9" width="10.125" style="80" bestFit="1" customWidth="1"/>
    <col min="10" max="10" width="7.5" style="80" customWidth="1"/>
    <col min="11" max="11" width="8.375" style="80" customWidth="1"/>
  </cols>
  <sheetData>
    <row r="1" spans="1:11" ht="39.950000000000003" customHeight="1">
      <c r="A1" s="444" t="s">
        <v>186</v>
      </c>
      <c r="B1" s="444"/>
      <c r="C1" s="171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45" t="s">
        <v>327</v>
      </c>
      <c r="B2" s="44" t="s">
        <v>17</v>
      </c>
      <c r="C2" s="114" t="s">
        <v>18</v>
      </c>
      <c r="D2" s="46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38" t="s">
        <v>0</v>
      </c>
      <c r="B3" s="502" t="s">
        <v>278</v>
      </c>
      <c r="C3" s="151" t="s">
        <v>418</v>
      </c>
      <c r="D3" s="54">
        <v>10</v>
      </c>
      <c r="E3" s="7">
        <f>D3*D1/1000</f>
        <v>0</v>
      </c>
      <c r="F3" s="82" t="s">
        <v>88</v>
      </c>
      <c r="G3" s="281">
        <f>D3/20</f>
        <v>0.5</v>
      </c>
      <c r="H3" s="281">
        <f>G3*2</f>
        <v>1</v>
      </c>
      <c r="I3" s="282">
        <f>G3*15</f>
        <v>7.5</v>
      </c>
      <c r="J3" s="282"/>
      <c r="K3" s="282">
        <f>H3*4+I3*4+J3*9</f>
        <v>34</v>
      </c>
    </row>
    <row r="4" spans="1:11">
      <c r="A4" s="439"/>
      <c r="B4" s="502"/>
      <c r="C4" s="151" t="s">
        <v>419</v>
      </c>
      <c r="D4" s="54">
        <v>4</v>
      </c>
      <c r="E4" s="7">
        <f>D4*D1/1000</f>
        <v>0</v>
      </c>
      <c r="F4" s="82" t="s">
        <v>110</v>
      </c>
      <c r="G4" s="282">
        <f>D4/5</f>
        <v>0.8</v>
      </c>
      <c r="H4" s="282">
        <f>0</f>
        <v>0</v>
      </c>
      <c r="I4" s="282">
        <f>G4*0</f>
        <v>0</v>
      </c>
      <c r="J4" s="282">
        <f>G4*5</f>
        <v>4</v>
      </c>
      <c r="K4" s="282">
        <f t="shared" ref="K4:K31" si="0">H4*4+I4*4+J4*9</f>
        <v>36</v>
      </c>
    </row>
    <row r="5" spans="1:11">
      <c r="A5" s="439"/>
      <c r="B5" s="502"/>
      <c r="C5" s="152" t="s">
        <v>185</v>
      </c>
      <c r="D5" s="17">
        <v>5</v>
      </c>
      <c r="E5" s="7">
        <f>D5*D1/1000</f>
        <v>0</v>
      </c>
      <c r="F5" s="76">
        <v>0</v>
      </c>
      <c r="G5" s="283">
        <v>0</v>
      </c>
      <c r="H5" s="282">
        <v>0</v>
      </c>
      <c r="I5" s="282">
        <v>5</v>
      </c>
      <c r="J5" s="282">
        <v>0</v>
      </c>
      <c r="K5" s="282">
        <f t="shared" si="0"/>
        <v>20</v>
      </c>
    </row>
    <row r="6" spans="1:11" ht="19.5" customHeight="1">
      <c r="A6" s="455"/>
      <c r="B6" s="149" t="s">
        <v>417</v>
      </c>
      <c r="C6" s="156" t="s">
        <v>417</v>
      </c>
      <c r="D6" s="9">
        <v>30</v>
      </c>
      <c r="E6" s="7">
        <f>D6*D1/1000</f>
        <v>0</v>
      </c>
      <c r="F6" s="78" t="s">
        <v>88</v>
      </c>
      <c r="G6" s="282">
        <v>1</v>
      </c>
      <c r="H6" s="282">
        <v>2</v>
      </c>
      <c r="I6" s="282">
        <v>15</v>
      </c>
      <c r="J6" s="282">
        <v>0</v>
      </c>
      <c r="K6" s="282">
        <f t="shared" si="0"/>
        <v>68</v>
      </c>
    </row>
    <row r="7" spans="1:11">
      <c r="A7" s="440" t="s">
        <v>1</v>
      </c>
      <c r="B7" s="503" t="s">
        <v>563</v>
      </c>
      <c r="C7" s="153" t="s">
        <v>28</v>
      </c>
      <c r="D7" s="58">
        <v>35</v>
      </c>
      <c r="E7" s="7">
        <f>D7*D1/1000</f>
        <v>0</v>
      </c>
      <c r="F7" s="78" t="s">
        <v>88</v>
      </c>
      <c r="G7" s="282">
        <f>D7/20</f>
        <v>1.75</v>
      </c>
      <c r="H7" s="282">
        <f>G7*2</f>
        <v>3.5</v>
      </c>
      <c r="I7" s="282">
        <f>G7*15</f>
        <v>26.25</v>
      </c>
      <c r="J7" s="282">
        <v>0</v>
      </c>
      <c r="K7" s="282">
        <f t="shared" si="0"/>
        <v>119</v>
      </c>
    </row>
    <row r="8" spans="1:11">
      <c r="A8" s="434"/>
      <c r="B8" s="503"/>
      <c r="C8" s="157" t="s">
        <v>354</v>
      </c>
      <c r="D8" s="47">
        <v>4</v>
      </c>
      <c r="E8" s="8">
        <f>D8*D1/1000</f>
        <v>0</v>
      </c>
      <c r="F8" s="78" t="s">
        <v>88</v>
      </c>
      <c r="G8" s="282">
        <f>D8/20</f>
        <v>0.2</v>
      </c>
      <c r="H8" s="282">
        <f>G8*2</f>
        <v>0.4</v>
      </c>
      <c r="I8" s="282">
        <f>G8*15</f>
        <v>3</v>
      </c>
      <c r="J8" s="282">
        <v>0</v>
      </c>
      <c r="K8" s="282">
        <f t="shared" si="0"/>
        <v>13.6</v>
      </c>
    </row>
    <row r="9" spans="1:11">
      <c r="A9" s="434"/>
      <c r="B9" s="500" t="s">
        <v>170</v>
      </c>
      <c r="C9" s="158" t="s">
        <v>420</v>
      </c>
      <c r="D9" s="47">
        <v>40</v>
      </c>
      <c r="E9" s="7">
        <f>D9*D1/1000</f>
        <v>0</v>
      </c>
      <c r="F9" s="76" t="s">
        <v>112</v>
      </c>
      <c r="G9" s="282">
        <f>D9/30</f>
        <v>1.3333333333333333</v>
      </c>
      <c r="H9" s="282">
        <f>G9*7</f>
        <v>9.3333333333333321</v>
      </c>
      <c r="I9" s="282"/>
      <c r="J9" s="282">
        <f>G9*3</f>
        <v>4</v>
      </c>
      <c r="K9" s="282">
        <f t="shared" si="0"/>
        <v>73.333333333333329</v>
      </c>
    </row>
    <row r="10" spans="1:11">
      <c r="A10" s="434"/>
      <c r="B10" s="500"/>
      <c r="C10" s="158" t="s">
        <v>321</v>
      </c>
      <c r="D10" s="47">
        <v>5</v>
      </c>
      <c r="E10" s="7">
        <f>D10*D1/1000</f>
        <v>0</v>
      </c>
      <c r="F10" s="76" t="s">
        <v>81</v>
      </c>
      <c r="G10" s="282">
        <f>D10/100</f>
        <v>0.05</v>
      </c>
      <c r="H10" s="282">
        <f>1*G10</f>
        <v>0.05</v>
      </c>
      <c r="I10" s="282">
        <f>G10*5</f>
        <v>0.25</v>
      </c>
      <c r="J10" s="282">
        <f>0</f>
        <v>0</v>
      </c>
      <c r="K10" s="282">
        <f t="shared" si="0"/>
        <v>1.2</v>
      </c>
    </row>
    <row r="11" spans="1:11">
      <c r="A11" s="434"/>
      <c r="B11" s="500"/>
      <c r="C11" s="158" t="s">
        <v>421</v>
      </c>
      <c r="D11" s="47">
        <v>5</v>
      </c>
      <c r="E11" s="7">
        <f>D11*D1/1000</f>
        <v>0</v>
      </c>
      <c r="F11" s="76" t="s">
        <v>81</v>
      </c>
      <c r="G11" s="282">
        <f>D11/100</f>
        <v>0.05</v>
      </c>
      <c r="H11" s="282">
        <f>1*G11</f>
        <v>0.05</v>
      </c>
      <c r="I11" s="282">
        <f>G11*5</f>
        <v>0.25</v>
      </c>
      <c r="J11" s="282">
        <f>0</f>
        <v>0</v>
      </c>
      <c r="K11" s="282">
        <f t="shared" si="0"/>
        <v>1.2</v>
      </c>
    </row>
    <row r="12" spans="1:11">
      <c r="A12" s="434"/>
      <c r="B12" s="500"/>
      <c r="C12" s="158" t="s">
        <v>422</v>
      </c>
      <c r="D12" s="47">
        <v>4</v>
      </c>
      <c r="E12" s="8">
        <f>D12*D1/1000</f>
        <v>0</v>
      </c>
      <c r="F12" s="76" t="s">
        <v>110</v>
      </c>
      <c r="G12" s="282">
        <f>D12/5</f>
        <v>0.8</v>
      </c>
      <c r="H12" s="282">
        <f>0</f>
        <v>0</v>
      </c>
      <c r="I12" s="282">
        <f>G12*0</f>
        <v>0</v>
      </c>
      <c r="J12" s="282">
        <f>G12*5</f>
        <v>4</v>
      </c>
      <c r="K12" s="282">
        <f t="shared" si="0"/>
        <v>36</v>
      </c>
    </row>
    <row r="13" spans="1:11">
      <c r="A13" s="434"/>
      <c r="B13" s="500"/>
      <c r="C13" s="158" t="s">
        <v>183</v>
      </c>
      <c r="D13" s="60">
        <v>2</v>
      </c>
      <c r="E13" s="7">
        <f>D13*D1/1000</f>
        <v>0</v>
      </c>
      <c r="F13" s="75" t="s">
        <v>110</v>
      </c>
      <c r="G13" s="282">
        <f>D13/5</f>
        <v>0.4</v>
      </c>
      <c r="H13" s="282">
        <f>0</f>
        <v>0</v>
      </c>
      <c r="I13" s="282">
        <f>G13*0</f>
        <v>0</v>
      </c>
      <c r="J13" s="282">
        <f>G13*5</f>
        <v>2</v>
      </c>
      <c r="K13" s="282">
        <f t="shared" si="0"/>
        <v>18</v>
      </c>
    </row>
    <row r="14" spans="1:11">
      <c r="A14" s="434"/>
      <c r="B14" s="452" t="s">
        <v>279</v>
      </c>
      <c r="C14" s="157" t="s">
        <v>423</v>
      </c>
      <c r="D14" s="9">
        <v>30</v>
      </c>
      <c r="E14" s="7">
        <f>D14*D1/1000</f>
        <v>0</v>
      </c>
      <c r="F14" s="76" t="s">
        <v>88</v>
      </c>
      <c r="G14" s="283">
        <f>D14/100</f>
        <v>0.3</v>
      </c>
      <c r="H14" s="282">
        <f>G14*1</f>
        <v>0.3</v>
      </c>
      <c r="I14" s="282">
        <f>G14*5</f>
        <v>1.5</v>
      </c>
      <c r="J14" s="282"/>
      <c r="K14" s="282">
        <f t="shared" si="0"/>
        <v>7.2</v>
      </c>
    </row>
    <row r="15" spans="1:11">
      <c r="A15" s="434"/>
      <c r="B15" s="456"/>
      <c r="C15" s="158" t="s">
        <v>424</v>
      </c>
      <c r="D15" s="31">
        <v>5</v>
      </c>
      <c r="E15" s="8">
        <f>D15*D1/1000</f>
        <v>0</v>
      </c>
      <c r="F15" s="76" t="s">
        <v>81</v>
      </c>
      <c r="G15" s="282"/>
      <c r="H15" s="282"/>
      <c r="I15" s="282"/>
      <c r="J15" s="282"/>
      <c r="K15" s="282">
        <f t="shared" si="0"/>
        <v>0</v>
      </c>
    </row>
    <row r="16" spans="1:11">
      <c r="A16" s="434"/>
      <c r="B16" s="456"/>
      <c r="C16" s="158" t="s">
        <v>425</v>
      </c>
      <c r="D16" s="31">
        <v>25</v>
      </c>
      <c r="E16" s="7">
        <f>D16*D1/1000</f>
        <v>0</v>
      </c>
      <c r="F16" s="78" t="s">
        <v>112</v>
      </c>
      <c r="G16" s="282">
        <f>D16/35</f>
        <v>0.7142857142857143</v>
      </c>
      <c r="H16" s="282">
        <f>G16*7</f>
        <v>5</v>
      </c>
      <c r="I16" s="282"/>
      <c r="J16" s="282">
        <f>G16*5</f>
        <v>3.5714285714285716</v>
      </c>
      <c r="K16" s="282">
        <f t="shared" si="0"/>
        <v>52.142857142857146</v>
      </c>
    </row>
    <row r="17" spans="1:11">
      <c r="A17" s="434"/>
      <c r="B17" s="456"/>
      <c r="C17" s="154" t="s">
        <v>183</v>
      </c>
      <c r="D17" s="60">
        <v>2</v>
      </c>
      <c r="E17" s="7">
        <f>D17*D1/1000</f>
        <v>0</v>
      </c>
      <c r="F17" s="75" t="s">
        <v>110</v>
      </c>
      <c r="G17" s="282">
        <f>D17/5</f>
        <v>0.4</v>
      </c>
      <c r="H17" s="282">
        <f>0</f>
        <v>0</v>
      </c>
      <c r="I17" s="282">
        <f>G17*0</f>
        <v>0</v>
      </c>
      <c r="J17" s="282">
        <f>G17*5</f>
        <v>2</v>
      </c>
      <c r="K17" s="282">
        <f t="shared" si="0"/>
        <v>18</v>
      </c>
    </row>
    <row r="18" spans="1:11">
      <c r="A18" s="434"/>
      <c r="B18" s="457" t="s">
        <v>681</v>
      </c>
      <c r="C18" s="158" t="s">
        <v>52</v>
      </c>
      <c r="D18" s="58">
        <v>0.5</v>
      </c>
      <c r="E18" s="7"/>
      <c r="F18" s="106" t="s">
        <v>24</v>
      </c>
      <c r="G18" s="283"/>
      <c r="H18" s="282"/>
      <c r="I18" s="282"/>
      <c r="J18" s="282"/>
      <c r="K18" s="282">
        <f t="shared" si="0"/>
        <v>0</v>
      </c>
    </row>
    <row r="19" spans="1:11">
      <c r="A19" s="434"/>
      <c r="B19" s="457"/>
      <c r="C19" s="158" t="s">
        <v>680</v>
      </c>
      <c r="D19" s="31">
        <v>40</v>
      </c>
      <c r="E19" s="7">
        <f>D19*D1/1000</f>
        <v>0</v>
      </c>
      <c r="F19" s="75" t="s">
        <v>81</v>
      </c>
      <c r="G19" s="282">
        <f>D19/100</f>
        <v>0.4</v>
      </c>
      <c r="H19" s="282">
        <f>1*G19</f>
        <v>0.4</v>
      </c>
      <c r="I19" s="282">
        <f>G19*5</f>
        <v>2</v>
      </c>
      <c r="J19" s="282">
        <f>0</f>
        <v>0</v>
      </c>
      <c r="K19" s="282">
        <f t="shared" si="0"/>
        <v>9.6</v>
      </c>
    </row>
    <row r="20" spans="1:11">
      <c r="A20" s="434"/>
      <c r="B20" s="452"/>
      <c r="C20" s="154" t="s">
        <v>183</v>
      </c>
      <c r="D20" s="60">
        <v>1</v>
      </c>
      <c r="E20" s="8">
        <f>D20*D1/1000</f>
        <v>0</v>
      </c>
      <c r="F20" s="75" t="s">
        <v>110</v>
      </c>
      <c r="G20" s="282">
        <f>D20/5</f>
        <v>0.2</v>
      </c>
      <c r="H20" s="282">
        <f>0</f>
        <v>0</v>
      </c>
      <c r="I20" s="282">
        <f>G20*0</f>
        <v>0</v>
      </c>
      <c r="J20" s="282">
        <f>G20*5</f>
        <v>1</v>
      </c>
      <c r="K20" s="282">
        <f t="shared" si="0"/>
        <v>9</v>
      </c>
    </row>
    <row r="21" spans="1:11">
      <c r="A21" s="434"/>
      <c r="B21" s="458" t="s">
        <v>82</v>
      </c>
      <c r="C21" s="155" t="s">
        <v>127</v>
      </c>
      <c r="D21" s="60">
        <v>7</v>
      </c>
      <c r="E21" s="7">
        <f>D21*D1/1000</f>
        <v>0</v>
      </c>
      <c r="F21" s="75" t="s">
        <v>88</v>
      </c>
      <c r="G21" s="282">
        <f>D21/85</f>
        <v>8.2352941176470587E-2</v>
      </c>
      <c r="H21" s="282">
        <f>G21*2</f>
        <v>0.16470588235294117</v>
      </c>
      <c r="I21" s="282">
        <f>G21*15</f>
        <v>1.2352941176470589</v>
      </c>
      <c r="J21" s="282"/>
      <c r="K21" s="282">
        <f t="shared" si="0"/>
        <v>5.6000000000000005</v>
      </c>
    </row>
    <row r="22" spans="1:11">
      <c r="A22" s="434"/>
      <c r="B22" s="459"/>
      <c r="C22" s="155" t="s">
        <v>223</v>
      </c>
      <c r="D22" s="60">
        <v>7</v>
      </c>
      <c r="E22" s="7">
        <f>D22*D1/1000</f>
        <v>0</v>
      </c>
      <c r="F22" s="75" t="s">
        <v>88</v>
      </c>
      <c r="G22" s="285">
        <f>10/90</f>
        <v>0.1111111111111111</v>
      </c>
      <c r="H22" s="282">
        <f>G22*2</f>
        <v>0.22222222222222221</v>
      </c>
      <c r="I22" s="282">
        <f>G22*15</f>
        <v>1.6666666666666665</v>
      </c>
      <c r="J22" s="282">
        <f>G22*0</f>
        <v>0</v>
      </c>
      <c r="K22" s="282">
        <f t="shared" si="0"/>
        <v>7.5555555555555554</v>
      </c>
    </row>
    <row r="23" spans="1:11">
      <c r="A23" s="434"/>
      <c r="B23" s="459"/>
      <c r="C23" s="155" t="s">
        <v>280</v>
      </c>
      <c r="D23" s="62">
        <v>0.5</v>
      </c>
      <c r="E23" s="7">
        <f>D23*D1/1000</f>
        <v>0</v>
      </c>
      <c r="F23" s="75" t="s">
        <v>81</v>
      </c>
      <c r="G23" s="282">
        <v>0.1</v>
      </c>
      <c r="H23" s="282">
        <f>1*G23</f>
        <v>0.1</v>
      </c>
      <c r="I23" s="282">
        <f>G23*5</f>
        <v>0.5</v>
      </c>
      <c r="J23" s="282">
        <f>0</f>
        <v>0</v>
      </c>
      <c r="K23" s="282">
        <f t="shared" si="0"/>
        <v>2.4</v>
      </c>
    </row>
    <row r="24" spans="1:11">
      <c r="A24" s="434"/>
      <c r="B24" s="459"/>
      <c r="C24" s="155" t="s">
        <v>33</v>
      </c>
      <c r="D24" s="62">
        <v>2</v>
      </c>
      <c r="E24" s="7">
        <f>D24*D1/1000</f>
        <v>0</v>
      </c>
      <c r="F24" s="77" t="s">
        <v>24</v>
      </c>
      <c r="G24" s="282"/>
      <c r="H24" s="282"/>
      <c r="I24" s="282"/>
      <c r="J24" s="282"/>
      <c r="K24" s="282"/>
    </row>
    <row r="25" spans="1:11">
      <c r="A25" s="434"/>
      <c r="B25" s="459"/>
      <c r="C25" s="155" t="s">
        <v>53</v>
      </c>
      <c r="D25" s="62">
        <v>5</v>
      </c>
      <c r="E25" s="7">
        <f>D25*D1/1000</f>
        <v>0</v>
      </c>
      <c r="F25" s="77" t="s">
        <v>24</v>
      </c>
      <c r="G25" s="282"/>
      <c r="H25" s="282"/>
      <c r="I25" s="282"/>
      <c r="J25" s="282"/>
      <c r="K25" s="282"/>
    </row>
    <row r="26" spans="1:11">
      <c r="A26" s="434"/>
      <c r="B26" s="459"/>
      <c r="C26" s="155" t="s">
        <v>39</v>
      </c>
      <c r="D26" s="62">
        <v>3</v>
      </c>
      <c r="E26" s="7">
        <f>D26*D1/1000</f>
        <v>0</v>
      </c>
      <c r="F26" s="77" t="s">
        <v>24</v>
      </c>
      <c r="G26" s="282">
        <f>D26/20</f>
        <v>0.15</v>
      </c>
      <c r="H26" s="282">
        <f>G26*2</f>
        <v>0.3</v>
      </c>
      <c r="I26" s="282">
        <f>G26*15</f>
        <v>2.25</v>
      </c>
      <c r="J26" s="282">
        <f>G26*0</f>
        <v>0</v>
      </c>
      <c r="K26" s="282">
        <f t="shared" ref="K26" si="1">H26*4+I26*4+J26*9</f>
        <v>10.199999999999999</v>
      </c>
    </row>
    <row r="27" spans="1:11">
      <c r="A27" s="435"/>
      <c r="B27" s="460"/>
      <c r="C27" s="253" t="s">
        <v>184</v>
      </c>
      <c r="D27" s="58">
        <v>15</v>
      </c>
      <c r="E27" s="8">
        <f>D27*D1/1000</f>
        <v>0</v>
      </c>
      <c r="F27" s="75" t="s">
        <v>112</v>
      </c>
      <c r="G27" s="282">
        <f>D27/55</f>
        <v>0.27272727272727271</v>
      </c>
      <c r="H27" s="282">
        <f>G27*7</f>
        <v>1.9090909090909089</v>
      </c>
      <c r="I27" s="282"/>
      <c r="J27" s="282">
        <f>G27*5</f>
        <v>1.3636363636363635</v>
      </c>
      <c r="K27" s="282">
        <f t="shared" si="0"/>
        <v>19.909090909090907</v>
      </c>
    </row>
    <row r="28" spans="1:11" ht="16.5" customHeight="1">
      <c r="A28" s="440" t="s">
        <v>2</v>
      </c>
      <c r="B28" s="500" t="s">
        <v>276</v>
      </c>
      <c r="C28" s="49" t="s">
        <v>533</v>
      </c>
      <c r="D28" s="58">
        <v>15</v>
      </c>
      <c r="E28" s="7">
        <f>D28*D9/1000</f>
        <v>0.6</v>
      </c>
      <c r="F28" s="186" t="s">
        <v>88</v>
      </c>
      <c r="G28" s="221">
        <f>D28/25</f>
        <v>0.6</v>
      </c>
      <c r="H28" s="221">
        <f>G28*2</f>
        <v>1.2</v>
      </c>
      <c r="I28" s="221">
        <f>G28*15</f>
        <v>9</v>
      </c>
      <c r="J28" s="221"/>
      <c r="K28" s="221">
        <f t="shared" si="0"/>
        <v>40.799999999999997</v>
      </c>
    </row>
    <row r="29" spans="1:11">
      <c r="A29" s="434"/>
      <c r="B29" s="500"/>
      <c r="C29" s="49" t="s">
        <v>534</v>
      </c>
      <c r="D29" s="58">
        <v>5</v>
      </c>
      <c r="E29" s="7">
        <f>D29*D5/1000</f>
        <v>2.5000000000000001E-2</v>
      </c>
      <c r="F29" s="186" t="s">
        <v>88</v>
      </c>
      <c r="G29" s="221">
        <f>D29/20</f>
        <v>0.25</v>
      </c>
      <c r="H29" s="221">
        <f>G29*2</f>
        <v>0.5</v>
      </c>
      <c r="I29" s="221">
        <f>G29*15</f>
        <v>3.75</v>
      </c>
      <c r="J29" s="221"/>
      <c r="K29" s="221">
        <f t="shared" si="0"/>
        <v>17</v>
      </c>
    </row>
    <row r="30" spans="1:11">
      <c r="A30" s="434"/>
      <c r="B30" s="500"/>
      <c r="C30" s="49" t="s">
        <v>185</v>
      </c>
      <c r="D30" s="58">
        <v>5</v>
      </c>
      <c r="E30" s="8">
        <f>D30*D9/1000</f>
        <v>0.2</v>
      </c>
      <c r="F30" s="186"/>
      <c r="G30" s="221"/>
      <c r="H30" s="221"/>
      <c r="I30" s="221">
        <f>D30</f>
        <v>5</v>
      </c>
      <c r="J30" s="221"/>
      <c r="K30" s="221">
        <f t="shared" si="0"/>
        <v>20</v>
      </c>
    </row>
    <row r="31" spans="1:11" s="182" customFormat="1">
      <c r="A31" s="434"/>
      <c r="B31" s="500"/>
      <c r="C31" s="49" t="s">
        <v>277</v>
      </c>
      <c r="D31" s="9">
        <v>50</v>
      </c>
      <c r="E31" s="7">
        <f>D31*D9/1000</f>
        <v>2</v>
      </c>
      <c r="F31" s="186" t="s">
        <v>112</v>
      </c>
      <c r="G31" s="221">
        <v>0.25</v>
      </c>
      <c r="H31" s="221">
        <f>G31*7</f>
        <v>1.75</v>
      </c>
      <c r="I31" s="221"/>
      <c r="J31" s="221">
        <f>G31*5</f>
        <v>1.25</v>
      </c>
      <c r="K31" s="221">
        <f t="shared" si="0"/>
        <v>18.25</v>
      </c>
    </row>
    <row r="32" spans="1:11">
      <c r="A32" s="435"/>
      <c r="B32" s="150" t="s">
        <v>650</v>
      </c>
      <c r="C32" s="14" t="s">
        <v>651</v>
      </c>
      <c r="D32" s="190"/>
      <c r="E32" s="7"/>
      <c r="F32" s="186" t="s">
        <v>8</v>
      </c>
      <c r="G32" s="282">
        <v>1</v>
      </c>
      <c r="H32" s="282">
        <f>G32*0</f>
        <v>0</v>
      </c>
      <c r="I32" s="282">
        <f>G32*15</f>
        <v>15</v>
      </c>
      <c r="J32" s="282">
        <f>G32*0</f>
        <v>0</v>
      </c>
      <c r="K32" s="282">
        <f t="shared" ref="K32" si="2">H32*4+I32*4+J32*9</f>
        <v>60</v>
      </c>
    </row>
    <row r="33" spans="1:11" ht="21">
      <c r="A33" s="487" t="s">
        <v>499</v>
      </c>
      <c r="B33" s="487"/>
      <c r="C33" s="234"/>
      <c r="D33" s="235"/>
      <c r="E33" s="235"/>
      <c r="F33" s="236"/>
      <c r="G33" s="236"/>
      <c r="H33" s="211">
        <f>SUM(H3:H32)</f>
        <v>28.179352346999408</v>
      </c>
      <c r="I33" s="211">
        <f>SUM(I3:I32)</f>
        <v>99.151960784313729</v>
      </c>
      <c r="J33" s="211">
        <f>SUM(J3:J32)</f>
        <v>23.185064935064936</v>
      </c>
      <c r="K33" s="211">
        <f>SUM(K3:K32)</f>
        <v>717.99083694083697</v>
      </c>
    </row>
    <row r="34" spans="1:11" ht="19.5">
      <c r="A34" s="461" t="s">
        <v>537</v>
      </c>
      <c r="B34" s="462"/>
      <c r="C34" s="261"/>
      <c r="D34" s="261"/>
      <c r="E34" s="261"/>
      <c r="F34" s="262"/>
      <c r="G34" s="262"/>
      <c r="H34" s="258">
        <f>+H33*4/K33</f>
        <v>0.15699003885377669</v>
      </c>
      <c r="I34" s="257">
        <f>+I33*4/K33</f>
        <v>0.5523856611138559</v>
      </c>
      <c r="J34" s="257">
        <f>+J33*9/K33</f>
        <v>0.29062430003236744</v>
      </c>
      <c r="K34" s="257">
        <f>+H34+I34+J34</f>
        <v>1</v>
      </c>
    </row>
  </sheetData>
  <mergeCells count="14">
    <mergeCell ref="A1:B1"/>
    <mergeCell ref="F1:K1"/>
    <mergeCell ref="B14:B17"/>
    <mergeCell ref="A34:B34"/>
    <mergeCell ref="B28:B31"/>
    <mergeCell ref="B3:B5"/>
    <mergeCell ref="A33:B33"/>
    <mergeCell ref="A3:A6"/>
    <mergeCell ref="A7:A27"/>
    <mergeCell ref="A28:A32"/>
    <mergeCell ref="B7:B8"/>
    <mergeCell ref="B9:B13"/>
    <mergeCell ref="B21:B27"/>
    <mergeCell ref="B18:B20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1" zoomScale="70" zoomScaleNormal="70" workbookViewId="0">
      <selection activeCell="B15" sqref="B15:B17"/>
    </sheetView>
  </sheetViews>
  <sheetFormatPr defaultRowHeight="16.5"/>
  <cols>
    <col min="1" max="1" width="5.5" style="1" customWidth="1"/>
    <col min="2" max="2" width="11.5" style="1" customWidth="1"/>
    <col min="3" max="3" width="12.25" style="110" customWidth="1"/>
    <col min="4" max="4" width="6.375" style="111" customWidth="1"/>
    <col min="5" max="5" width="9.5" customWidth="1"/>
    <col min="6" max="6" width="5.5" style="116" customWidth="1"/>
    <col min="7" max="7" width="6.625" style="80" customWidth="1"/>
    <col min="8" max="8" width="9.75" style="80" customWidth="1"/>
    <col min="9" max="9" width="9" style="80"/>
    <col min="10" max="10" width="6.625" style="80" customWidth="1"/>
    <col min="11" max="11" width="8.375" style="80" customWidth="1"/>
  </cols>
  <sheetData>
    <row r="1" spans="1:11" ht="39.950000000000003" customHeight="1">
      <c r="A1" s="507" t="s">
        <v>186</v>
      </c>
      <c r="B1" s="507"/>
      <c r="C1" s="172" t="s">
        <v>187</v>
      </c>
      <c r="D1" s="112"/>
      <c r="E1" s="168" t="s">
        <v>188</v>
      </c>
      <c r="F1" s="504" t="s">
        <v>150</v>
      </c>
      <c r="G1" s="504"/>
      <c r="H1" s="504"/>
      <c r="I1" s="504"/>
      <c r="J1" s="504"/>
      <c r="K1" s="504"/>
    </row>
    <row r="2" spans="1:11">
      <c r="A2" s="133" t="s">
        <v>16</v>
      </c>
      <c r="B2" s="120" t="s">
        <v>17</v>
      </c>
      <c r="C2" s="11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505" t="s">
        <v>0</v>
      </c>
      <c r="B3" s="94" t="s">
        <v>10</v>
      </c>
      <c r="C3" s="130" t="s">
        <v>313</v>
      </c>
      <c r="D3" s="31">
        <v>240</v>
      </c>
      <c r="E3" s="7">
        <f>D3*D$1/1000</f>
        <v>0</v>
      </c>
      <c r="F3" s="78" t="s">
        <v>75</v>
      </c>
      <c r="G3" s="251">
        <v>1</v>
      </c>
      <c r="H3" s="221">
        <v>8</v>
      </c>
      <c r="I3" s="221">
        <v>12</v>
      </c>
      <c r="J3" s="221">
        <v>8</v>
      </c>
      <c r="K3" s="221">
        <f>H3*4+I3*4+J3*9</f>
        <v>152</v>
      </c>
    </row>
    <row r="4" spans="1:11">
      <c r="A4" s="506"/>
      <c r="B4" s="94" t="s">
        <v>172</v>
      </c>
      <c r="C4" s="95" t="s">
        <v>172</v>
      </c>
      <c r="D4" s="9">
        <v>20</v>
      </c>
      <c r="E4" s="7">
        <f t="shared" ref="E4:E26" si="0">D4*D$1/1000</f>
        <v>0</v>
      </c>
      <c r="F4" s="78" t="s">
        <v>88</v>
      </c>
      <c r="G4" s="251">
        <v>1</v>
      </c>
      <c r="H4" s="251">
        <f>G4*2</f>
        <v>2</v>
      </c>
      <c r="I4" s="221">
        <f>G4*15</f>
        <v>15</v>
      </c>
      <c r="J4" s="221">
        <v>0</v>
      </c>
      <c r="K4" s="221">
        <f>H4*4+I4*4+J4*9</f>
        <v>68</v>
      </c>
    </row>
    <row r="5" spans="1:11">
      <c r="A5" s="452" t="s">
        <v>1</v>
      </c>
      <c r="B5" s="508" t="s">
        <v>143</v>
      </c>
      <c r="C5" s="105" t="s">
        <v>28</v>
      </c>
      <c r="D5" s="195">
        <v>30</v>
      </c>
      <c r="E5" s="7">
        <f t="shared" si="0"/>
        <v>0</v>
      </c>
      <c r="F5" s="76" t="s">
        <v>88</v>
      </c>
      <c r="G5" s="225">
        <f>D5/20</f>
        <v>1.5</v>
      </c>
      <c r="H5" s="221">
        <f>G5*2</f>
        <v>3</v>
      </c>
      <c r="I5" s="221">
        <f>G5*15</f>
        <v>22.5</v>
      </c>
      <c r="J5" s="221">
        <v>0</v>
      </c>
      <c r="K5" s="221">
        <f t="shared" ref="K5:K6" si="1">H5*4+I5*4+J5*9</f>
        <v>102</v>
      </c>
    </row>
    <row r="6" spans="1:11">
      <c r="A6" s="456"/>
      <c r="B6" s="509"/>
      <c r="C6" s="105" t="s">
        <v>334</v>
      </c>
      <c r="D6" s="194">
        <v>10</v>
      </c>
      <c r="E6" s="7">
        <f t="shared" si="0"/>
        <v>0</v>
      </c>
      <c r="F6" s="76" t="s">
        <v>88</v>
      </c>
      <c r="G6" s="225">
        <f>D6/20</f>
        <v>0.5</v>
      </c>
      <c r="H6" s="221">
        <f>G6*2</f>
        <v>1</v>
      </c>
      <c r="I6" s="221">
        <f>G6*15</f>
        <v>7.5</v>
      </c>
      <c r="J6" s="221">
        <v>0</v>
      </c>
      <c r="K6" s="221">
        <f t="shared" si="1"/>
        <v>34</v>
      </c>
    </row>
    <row r="7" spans="1:11">
      <c r="A7" s="456"/>
      <c r="B7" s="508" t="s">
        <v>173</v>
      </c>
      <c r="C7" s="105" t="s">
        <v>323</v>
      </c>
      <c r="D7" s="194">
        <v>30</v>
      </c>
      <c r="E7" s="7">
        <f t="shared" si="0"/>
        <v>0</v>
      </c>
      <c r="F7" s="76" t="s">
        <v>112</v>
      </c>
      <c r="G7" s="221">
        <f>D7/37.5</f>
        <v>0.8</v>
      </c>
      <c r="H7" s="221">
        <f>G7*7</f>
        <v>5.6000000000000005</v>
      </c>
      <c r="I7" s="221">
        <f>G7*0</f>
        <v>0</v>
      </c>
      <c r="J7" s="221">
        <f>G7*5</f>
        <v>4</v>
      </c>
      <c r="K7" s="221">
        <f>H7*4+I7*4+J7*9</f>
        <v>58.400000000000006</v>
      </c>
    </row>
    <row r="8" spans="1:11">
      <c r="A8" s="456"/>
      <c r="B8" s="510"/>
      <c r="C8" s="105" t="s">
        <v>434</v>
      </c>
      <c r="D8" s="194">
        <v>5</v>
      </c>
      <c r="E8" s="7">
        <f t="shared" si="0"/>
        <v>0</v>
      </c>
      <c r="F8" s="186" t="s">
        <v>81</v>
      </c>
      <c r="G8" s="221">
        <f>D8/100</f>
        <v>0.05</v>
      </c>
      <c r="H8" s="221">
        <f>1*G8</f>
        <v>0.05</v>
      </c>
      <c r="I8" s="221">
        <f>G8*5</f>
        <v>0.25</v>
      </c>
      <c r="J8" s="221">
        <f>0</f>
        <v>0</v>
      </c>
      <c r="K8" s="221">
        <f>H8*4+I8*4+J8*9</f>
        <v>1.2</v>
      </c>
    </row>
    <row r="9" spans="1:11">
      <c r="A9" s="456"/>
      <c r="B9" s="510"/>
      <c r="C9" s="105" t="s">
        <v>52</v>
      </c>
      <c r="D9" s="195">
        <v>0.5</v>
      </c>
      <c r="E9" s="7">
        <f t="shared" si="0"/>
        <v>0</v>
      </c>
      <c r="F9" s="186" t="s">
        <v>24</v>
      </c>
      <c r="G9" s="221"/>
      <c r="H9" s="221"/>
      <c r="I9" s="221"/>
      <c r="J9" s="221"/>
      <c r="K9" s="221"/>
    </row>
    <row r="10" spans="1:11" s="182" customFormat="1">
      <c r="A10" s="456"/>
      <c r="B10" s="509"/>
      <c r="C10" s="147" t="s">
        <v>543</v>
      </c>
      <c r="D10" s="195">
        <v>20</v>
      </c>
      <c r="E10" s="7">
        <f t="shared" si="0"/>
        <v>0</v>
      </c>
      <c r="F10" s="76" t="s">
        <v>88</v>
      </c>
      <c r="G10" s="225">
        <f>D10/100</f>
        <v>0.2</v>
      </c>
      <c r="H10" s="221">
        <f>G10*2</f>
        <v>0.4</v>
      </c>
      <c r="I10" s="221">
        <f>G10*15</f>
        <v>3</v>
      </c>
      <c r="J10" s="221">
        <v>0</v>
      </c>
      <c r="K10" s="221">
        <f t="shared" ref="K10" si="2">H10*4+I10*4+J10*9</f>
        <v>13.6</v>
      </c>
    </row>
    <row r="11" spans="1:11">
      <c r="A11" s="456"/>
      <c r="B11" s="508" t="s">
        <v>174</v>
      </c>
      <c r="C11" s="105" t="s">
        <v>113</v>
      </c>
      <c r="D11" s="195">
        <v>35</v>
      </c>
      <c r="E11" s="7">
        <f t="shared" si="0"/>
        <v>0</v>
      </c>
      <c r="F11" s="186" t="s">
        <v>81</v>
      </c>
      <c r="G11" s="221">
        <f>D11/100</f>
        <v>0.35</v>
      </c>
      <c r="H11" s="221">
        <f>1*G11</f>
        <v>0.35</v>
      </c>
      <c r="I11" s="221">
        <f>G11*5</f>
        <v>1.75</v>
      </c>
      <c r="J11" s="221">
        <f>0</f>
        <v>0</v>
      </c>
      <c r="K11" s="221">
        <f t="shared" ref="K11" si="3">H11*4+I11*4+J11*9</f>
        <v>8.4</v>
      </c>
    </row>
    <row r="12" spans="1:11">
      <c r="A12" s="456"/>
      <c r="B12" s="510"/>
      <c r="C12" s="105" t="s">
        <v>184</v>
      </c>
      <c r="D12" s="195">
        <v>15</v>
      </c>
      <c r="E12" s="7">
        <f t="shared" si="0"/>
        <v>0</v>
      </c>
      <c r="F12" s="186" t="s">
        <v>112</v>
      </c>
      <c r="G12" s="221">
        <f>D12/55</f>
        <v>0.27272727272727271</v>
      </c>
      <c r="H12" s="221">
        <f>G12*7</f>
        <v>1.9090909090909089</v>
      </c>
      <c r="I12" s="221">
        <f>G12*0</f>
        <v>0</v>
      </c>
      <c r="J12" s="221">
        <f>G12*5</f>
        <v>1.3636363636363635</v>
      </c>
      <c r="K12" s="221">
        <f>H12*4+I12*4+J12*9</f>
        <v>19.909090909090907</v>
      </c>
    </row>
    <row r="13" spans="1:11">
      <c r="A13" s="456"/>
      <c r="B13" s="510"/>
      <c r="C13" s="105" t="s">
        <v>225</v>
      </c>
      <c r="D13" s="195">
        <v>1</v>
      </c>
      <c r="E13" s="7">
        <f t="shared" si="0"/>
        <v>0</v>
      </c>
      <c r="F13" s="186" t="s">
        <v>24</v>
      </c>
      <c r="G13" s="221"/>
      <c r="H13" s="221"/>
      <c r="I13" s="221"/>
      <c r="J13" s="221"/>
      <c r="K13" s="221"/>
    </row>
    <row r="14" spans="1:11">
      <c r="A14" s="456"/>
      <c r="B14" s="509"/>
      <c r="C14" s="105" t="s">
        <v>61</v>
      </c>
      <c r="D14" s="195">
        <v>4</v>
      </c>
      <c r="E14" s="7">
        <f t="shared" si="0"/>
        <v>0</v>
      </c>
      <c r="F14" s="186" t="s">
        <v>110</v>
      </c>
      <c r="G14" s="221">
        <f>D14/5</f>
        <v>0.8</v>
      </c>
      <c r="H14" s="221">
        <v>0</v>
      </c>
      <c r="I14" s="221">
        <v>0</v>
      </c>
      <c r="J14" s="221">
        <f>G14*5</f>
        <v>4</v>
      </c>
      <c r="K14" s="221">
        <f>H14*4+I14*4+J14*9</f>
        <v>36</v>
      </c>
    </row>
    <row r="15" spans="1:11">
      <c r="A15" s="456"/>
      <c r="B15" s="508" t="s">
        <v>697</v>
      </c>
      <c r="C15" s="105" t="s">
        <v>678</v>
      </c>
      <c r="D15" s="195">
        <v>40</v>
      </c>
      <c r="E15" s="7">
        <f t="shared" si="0"/>
        <v>0</v>
      </c>
      <c r="F15" s="186" t="s">
        <v>81</v>
      </c>
      <c r="G15" s="221">
        <f>D15/100</f>
        <v>0.4</v>
      </c>
      <c r="H15" s="221">
        <f>1*G15</f>
        <v>0.4</v>
      </c>
      <c r="I15" s="221">
        <f>G15*5</f>
        <v>2</v>
      </c>
      <c r="J15" s="221">
        <f>0</f>
        <v>0</v>
      </c>
      <c r="K15" s="221">
        <f>H15*4+I15*4+J15*9</f>
        <v>9.6</v>
      </c>
    </row>
    <row r="16" spans="1:11">
      <c r="A16" s="456"/>
      <c r="B16" s="510"/>
      <c r="C16" s="105" t="s">
        <v>52</v>
      </c>
      <c r="D16" s="195">
        <v>0.5</v>
      </c>
      <c r="E16" s="7">
        <f t="shared" si="0"/>
        <v>0</v>
      </c>
      <c r="F16" s="186" t="s">
        <v>24</v>
      </c>
      <c r="G16" s="221"/>
      <c r="H16" s="221"/>
      <c r="I16" s="221"/>
      <c r="J16" s="221"/>
      <c r="K16" s="221"/>
    </row>
    <row r="17" spans="1:11">
      <c r="A17" s="456"/>
      <c r="B17" s="509"/>
      <c r="C17" s="105" t="s">
        <v>61</v>
      </c>
      <c r="D17" s="195">
        <v>3</v>
      </c>
      <c r="E17" s="7">
        <f t="shared" si="0"/>
        <v>0</v>
      </c>
      <c r="F17" s="186" t="s">
        <v>110</v>
      </c>
      <c r="G17" s="221">
        <f>D17/5</f>
        <v>0.6</v>
      </c>
      <c r="H17" s="221">
        <f>0</f>
        <v>0</v>
      </c>
      <c r="I17" s="221">
        <f>G17*0</f>
        <v>0</v>
      </c>
      <c r="J17" s="221">
        <f>G17*5</f>
        <v>3</v>
      </c>
      <c r="K17" s="221">
        <f>H17*4+I17*4+J17*9</f>
        <v>27</v>
      </c>
    </row>
    <row r="18" spans="1:11">
      <c r="A18" s="456"/>
      <c r="B18" s="508" t="s">
        <v>144</v>
      </c>
      <c r="C18" s="105" t="s">
        <v>96</v>
      </c>
      <c r="D18" s="195">
        <v>8</v>
      </c>
      <c r="E18" s="7">
        <f t="shared" si="0"/>
        <v>0</v>
      </c>
      <c r="F18" s="186" t="s">
        <v>81</v>
      </c>
      <c r="G18" s="221">
        <f>D18/100</f>
        <v>0.08</v>
      </c>
      <c r="H18" s="221">
        <f>1*G18</f>
        <v>0.08</v>
      </c>
      <c r="I18" s="221">
        <f>G18*5</f>
        <v>0.4</v>
      </c>
      <c r="J18" s="221">
        <f>0</f>
        <v>0</v>
      </c>
      <c r="K18" s="221">
        <f>H18*4+I18*4+J18*9</f>
        <v>1.9200000000000002</v>
      </c>
    </row>
    <row r="19" spans="1:11">
      <c r="A19" s="456"/>
      <c r="B19" s="510"/>
      <c r="C19" s="105" t="s">
        <v>117</v>
      </c>
      <c r="D19" s="195">
        <v>4</v>
      </c>
      <c r="E19" s="7">
        <f t="shared" si="0"/>
        <v>0</v>
      </c>
      <c r="F19" s="76" t="s">
        <v>81</v>
      </c>
      <c r="G19" s="221">
        <f>D19/100</f>
        <v>0.04</v>
      </c>
      <c r="H19" s="221">
        <f>1*G19</f>
        <v>0.04</v>
      </c>
      <c r="I19" s="221">
        <f>G19*5</f>
        <v>0.2</v>
      </c>
      <c r="J19" s="221">
        <f>0</f>
        <v>0</v>
      </c>
      <c r="K19" s="221">
        <f>H19*4+I19*4+J19*9</f>
        <v>0.96000000000000008</v>
      </c>
    </row>
    <row r="20" spans="1:11">
      <c r="A20" s="456"/>
      <c r="B20" s="510"/>
      <c r="C20" s="105" t="s">
        <v>328</v>
      </c>
      <c r="D20" s="195">
        <v>8</v>
      </c>
      <c r="E20" s="7">
        <f t="shared" si="0"/>
        <v>0</v>
      </c>
      <c r="F20" s="76" t="s">
        <v>81</v>
      </c>
      <c r="G20" s="221">
        <f>D20/100</f>
        <v>0.08</v>
      </c>
      <c r="H20" s="221">
        <f>1*G20</f>
        <v>0.08</v>
      </c>
      <c r="I20" s="221">
        <f>G20*5</f>
        <v>0.4</v>
      </c>
      <c r="J20" s="221">
        <f>0</f>
        <v>0</v>
      </c>
      <c r="K20" s="221">
        <f>H20*4+I20*4+J20*9</f>
        <v>1.9200000000000002</v>
      </c>
    </row>
    <row r="21" spans="1:11" s="182" customFormat="1">
      <c r="A21" s="188"/>
      <c r="B21" s="510"/>
      <c r="C21" s="147" t="s">
        <v>223</v>
      </c>
      <c r="D21" s="195">
        <v>25</v>
      </c>
      <c r="E21" s="7">
        <f t="shared" si="0"/>
        <v>0</v>
      </c>
      <c r="F21" s="76" t="s">
        <v>88</v>
      </c>
      <c r="G21" s="225">
        <f>D21/90</f>
        <v>0.27777777777777779</v>
      </c>
      <c r="H21" s="221">
        <f>G21*2</f>
        <v>0.55555555555555558</v>
      </c>
      <c r="I21" s="221">
        <f>G21*15</f>
        <v>4.166666666666667</v>
      </c>
      <c r="J21" s="221">
        <v>0</v>
      </c>
      <c r="K21" s="221">
        <f t="shared" ref="K21" si="4">H21*4+I21*4+J21*9</f>
        <v>18.888888888888889</v>
      </c>
    </row>
    <row r="22" spans="1:11" s="182" customFormat="1" ht="16.5" customHeight="1">
      <c r="A22" s="188"/>
      <c r="B22" s="510"/>
      <c r="C22" s="105" t="s">
        <v>23</v>
      </c>
      <c r="D22" s="195">
        <v>2</v>
      </c>
      <c r="E22" s="7">
        <f t="shared" si="0"/>
        <v>0</v>
      </c>
      <c r="F22" s="186" t="s">
        <v>24</v>
      </c>
      <c r="G22" s="221"/>
      <c r="H22" s="221"/>
      <c r="I22" s="221"/>
      <c r="J22" s="221"/>
      <c r="K22" s="221"/>
    </row>
    <row r="23" spans="1:11" s="182" customFormat="1" ht="16.5" customHeight="1">
      <c r="A23" s="188"/>
      <c r="B23" s="509"/>
      <c r="C23" s="105" t="s">
        <v>22</v>
      </c>
      <c r="D23" s="195">
        <v>0.5</v>
      </c>
      <c r="E23" s="7">
        <f t="shared" si="0"/>
        <v>0</v>
      </c>
      <c r="F23" s="77" t="s">
        <v>24</v>
      </c>
      <c r="G23" s="221"/>
      <c r="H23" s="221"/>
      <c r="I23" s="221"/>
      <c r="J23" s="221"/>
      <c r="K23" s="221"/>
    </row>
    <row r="24" spans="1:11">
      <c r="A24" s="458" t="s">
        <v>2</v>
      </c>
      <c r="B24" s="458" t="s">
        <v>380</v>
      </c>
      <c r="C24" s="132" t="s">
        <v>381</v>
      </c>
      <c r="D24" s="136" t="s">
        <v>319</v>
      </c>
      <c r="E24" s="7"/>
      <c r="F24" s="117" t="s">
        <v>88</v>
      </c>
      <c r="G24" s="252">
        <v>0.5</v>
      </c>
      <c r="H24" s="251">
        <f>G24*2</f>
        <v>1</v>
      </c>
      <c r="I24" s="221">
        <f>G24*15</f>
        <v>7.5</v>
      </c>
      <c r="J24" s="221">
        <v>0</v>
      </c>
      <c r="K24" s="221">
        <f>H24*4+I24*4+J24*9</f>
        <v>34</v>
      </c>
    </row>
    <row r="25" spans="1:11">
      <c r="A25" s="459"/>
      <c r="B25" s="459"/>
      <c r="C25" s="132" t="s">
        <v>506</v>
      </c>
      <c r="D25" s="136">
        <v>10</v>
      </c>
      <c r="E25" s="7">
        <f t="shared" si="0"/>
        <v>0</v>
      </c>
      <c r="F25" s="117" t="s">
        <v>112</v>
      </c>
      <c r="G25" s="252">
        <f>D25/35</f>
        <v>0.2857142857142857</v>
      </c>
      <c r="H25" s="221">
        <f>G25*7</f>
        <v>2</v>
      </c>
      <c r="I25" s="221"/>
      <c r="J25" s="221">
        <f>G25*5</f>
        <v>1.4285714285714284</v>
      </c>
      <c r="K25" s="221"/>
    </row>
    <row r="26" spans="1:11">
      <c r="A26" s="459"/>
      <c r="B26" s="459"/>
      <c r="C26" s="132" t="s">
        <v>14</v>
      </c>
      <c r="D26" s="2">
        <v>5</v>
      </c>
      <c r="E26" s="7">
        <f t="shared" si="0"/>
        <v>0</v>
      </c>
      <c r="F26" s="117" t="s">
        <v>81</v>
      </c>
      <c r="G26" s="221">
        <f>D26/100</f>
        <v>0.05</v>
      </c>
      <c r="H26" s="221">
        <f>1*G26</f>
        <v>0.05</v>
      </c>
      <c r="I26" s="221">
        <f>G26*5</f>
        <v>0.25</v>
      </c>
      <c r="J26" s="221">
        <f>0</f>
        <v>0</v>
      </c>
      <c r="K26" s="221">
        <f>H26*4+I26*4+J26*9</f>
        <v>1.2</v>
      </c>
    </row>
    <row r="27" spans="1:11">
      <c r="A27" s="459"/>
      <c r="B27" s="460"/>
      <c r="C27" s="132" t="s">
        <v>22</v>
      </c>
      <c r="D27" s="2" t="s">
        <v>182</v>
      </c>
      <c r="E27" s="7"/>
      <c r="F27" s="119" t="s">
        <v>24</v>
      </c>
      <c r="G27" s="278"/>
      <c r="H27" s="278"/>
      <c r="I27" s="278"/>
      <c r="J27" s="278"/>
      <c r="K27" s="221">
        <f t="shared" ref="K27:K29" si="5">H27*4+I27*4+J27*9</f>
        <v>0</v>
      </c>
    </row>
    <row r="28" spans="1:11" s="182" customFormat="1">
      <c r="A28" s="460"/>
      <c r="B28" s="150" t="s">
        <v>629</v>
      </c>
      <c r="C28" s="14" t="s">
        <v>654</v>
      </c>
      <c r="D28" s="190"/>
      <c r="E28" s="7"/>
      <c r="F28" s="186" t="s">
        <v>8</v>
      </c>
      <c r="G28" s="282">
        <v>1</v>
      </c>
      <c r="H28" s="282">
        <f>G28*0</f>
        <v>0</v>
      </c>
      <c r="I28" s="282">
        <f>G28*15</f>
        <v>15</v>
      </c>
      <c r="J28" s="282">
        <f>G28*0</f>
        <v>0</v>
      </c>
      <c r="K28" s="282">
        <f t="shared" si="5"/>
        <v>60</v>
      </c>
    </row>
    <row r="29" spans="1:11" ht="21">
      <c r="A29" s="487" t="s">
        <v>499</v>
      </c>
      <c r="B29" s="487"/>
      <c r="C29" s="234"/>
      <c r="D29" s="235"/>
      <c r="E29" s="235"/>
      <c r="F29" s="236"/>
      <c r="G29" s="236"/>
      <c r="H29" s="211">
        <f>SUM(H3:H28)</f>
        <v>26.514646464646464</v>
      </c>
      <c r="I29" s="211">
        <f>SUM(I3:I28)</f>
        <v>91.916666666666686</v>
      </c>
      <c r="J29" s="211">
        <f>SUM(J3:J28)</f>
        <v>21.79220779220779</v>
      </c>
      <c r="K29" s="288">
        <f t="shared" si="5"/>
        <v>669.85512265512273</v>
      </c>
    </row>
    <row r="30" spans="1:11" ht="19.5">
      <c r="A30" s="461" t="s">
        <v>537</v>
      </c>
      <c r="B30" s="462"/>
      <c r="C30" s="261"/>
      <c r="D30" s="261"/>
      <c r="E30" s="261"/>
      <c r="F30" s="262"/>
      <c r="G30" s="262"/>
      <c r="H30" s="258">
        <f>+H29*4/K29</f>
        <v>0.15833063340353148</v>
      </c>
      <c r="I30" s="257">
        <f>+I29*4/K29</f>
        <v>0.5488749047843906</v>
      </c>
      <c r="J30" s="257">
        <f>+J29*9/K29</f>
        <v>0.29279446181207791</v>
      </c>
      <c r="K30" s="257">
        <f>+H30+I30+J30</f>
        <v>1</v>
      </c>
    </row>
  </sheetData>
  <mergeCells count="13">
    <mergeCell ref="A30:B30"/>
    <mergeCell ref="B5:B6"/>
    <mergeCell ref="B11:B14"/>
    <mergeCell ref="B15:B17"/>
    <mergeCell ref="B18:B23"/>
    <mergeCell ref="A24:A28"/>
    <mergeCell ref="B7:B10"/>
    <mergeCell ref="F1:K1"/>
    <mergeCell ref="A3:A4"/>
    <mergeCell ref="A5:A20"/>
    <mergeCell ref="A29:B29"/>
    <mergeCell ref="B24:B27"/>
    <mergeCell ref="A1:B1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5"/>
  <sheetViews>
    <sheetView topLeftCell="A8" zoomScale="70" zoomScaleNormal="70" workbookViewId="0">
      <selection activeCell="B14" sqref="B14:B16"/>
    </sheetView>
  </sheetViews>
  <sheetFormatPr defaultRowHeight="16.5"/>
  <cols>
    <col min="1" max="1" width="5.5" customWidth="1"/>
    <col min="2" max="2" width="11.5" customWidth="1"/>
    <col min="3" max="3" width="12.25" customWidth="1"/>
    <col min="4" max="4" width="6.375" customWidth="1"/>
    <col min="5" max="5" width="8.875" customWidth="1"/>
    <col min="6" max="6" width="5.5" style="80" customWidth="1"/>
    <col min="7" max="7" width="6.625" style="80" customWidth="1"/>
    <col min="8" max="8" width="10" style="80" customWidth="1"/>
    <col min="9" max="9" width="9.125" style="80" bestFit="1" customWidth="1"/>
    <col min="10" max="10" width="7.5" style="80" customWidth="1"/>
    <col min="11" max="11" width="8.375" style="80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23" t="s">
        <v>327</v>
      </c>
      <c r="B2" s="28" t="s">
        <v>17</v>
      </c>
      <c r="C2" s="2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38" t="s">
        <v>0</v>
      </c>
      <c r="B3" s="18" t="s">
        <v>74</v>
      </c>
      <c r="C3" s="19" t="s">
        <v>74</v>
      </c>
      <c r="D3" s="17" t="s">
        <v>78</v>
      </c>
      <c r="E3" s="7"/>
      <c r="F3" s="76" t="s">
        <v>75</v>
      </c>
      <c r="G3" s="225">
        <v>1</v>
      </c>
      <c r="H3" s="221">
        <f>G3*6</f>
        <v>6</v>
      </c>
      <c r="I3" s="221">
        <f>G3*12+5</f>
        <v>17</v>
      </c>
      <c r="J3" s="221">
        <f>G3*6</f>
        <v>6</v>
      </c>
      <c r="K3" s="221">
        <f t="shared" ref="K3:K10" si="0">H3*4+I3*4+J3*9</f>
        <v>146</v>
      </c>
    </row>
    <row r="4" spans="1:11">
      <c r="A4" s="455"/>
      <c r="B4" s="20" t="s">
        <v>76</v>
      </c>
      <c r="C4" s="12" t="s">
        <v>76</v>
      </c>
      <c r="D4" s="9" t="s">
        <v>60</v>
      </c>
      <c r="E4" s="7"/>
      <c r="F4" s="78" t="s">
        <v>88</v>
      </c>
      <c r="G4" s="251">
        <v>1</v>
      </c>
      <c r="H4" s="221">
        <f>G4*2</f>
        <v>2</v>
      </c>
      <c r="I4" s="221">
        <f>G4*15</f>
        <v>15</v>
      </c>
      <c r="J4" s="221">
        <v>3</v>
      </c>
      <c r="K4" s="221">
        <f t="shared" si="0"/>
        <v>95</v>
      </c>
    </row>
    <row r="5" spans="1:11">
      <c r="A5" s="440" t="s">
        <v>1</v>
      </c>
      <c r="B5" s="290" t="s">
        <v>166</v>
      </c>
      <c r="C5" s="105" t="s">
        <v>28</v>
      </c>
      <c r="D5" s="195">
        <v>40</v>
      </c>
      <c r="E5" s="7">
        <f>D5*D$1/1000</f>
        <v>0</v>
      </c>
      <c r="F5" s="76" t="s">
        <v>88</v>
      </c>
      <c r="G5" s="225">
        <f>D5/20</f>
        <v>2</v>
      </c>
      <c r="H5" s="221">
        <f>G5*2</f>
        <v>4</v>
      </c>
      <c r="I5" s="221">
        <f>G5*15</f>
        <v>30</v>
      </c>
      <c r="J5" s="221">
        <v>0</v>
      </c>
      <c r="K5" s="221">
        <f t="shared" si="0"/>
        <v>136</v>
      </c>
    </row>
    <row r="6" spans="1:11">
      <c r="A6" s="434"/>
      <c r="B6" s="500" t="s">
        <v>541</v>
      </c>
      <c r="C6" s="122" t="s">
        <v>355</v>
      </c>
      <c r="D6" s="118">
        <v>35</v>
      </c>
      <c r="E6" s="7">
        <f t="shared" ref="E6:E22" si="1">D6*D$1/1000</f>
        <v>0</v>
      </c>
      <c r="F6" s="117" t="s">
        <v>112</v>
      </c>
      <c r="G6" s="252">
        <f>D6/35</f>
        <v>1</v>
      </c>
      <c r="H6" s="252">
        <f>G6*7</f>
        <v>7</v>
      </c>
      <c r="I6" s="252"/>
      <c r="J6" s="252">
        <f>G6*5</f>
        <v>5</v>
      </c>
      <c r="K6" s="221">
        <f t="shared" si="0"/>
        <v>73</v>
      </c>
    </row>
    <row r="7" spans="1:11">
      <c r="A7" s="434"/>
      <c r="B7" s="511"/>
      <c r="C7" s="122" t="s">
        <v>53</v>
      </c>
      <c r="D7" s="118">
        <v>15</v>
      </c>
      <c r="E7" s="7">
        <f t="shared" si="1"/>
        <v>0</v>
      </c>
      <c r="F7" s="117" t="s">
        <v>81</v>
      </c>
      <c r="G7" s="221">
        <f>D7/100</f>
        <v>0.15</v>
      </c>
      <c r="H7" s="221">
        <f>1*G7</f>
        <v>0.15</v>
      </c>
      <c r="I7" s="221">
        <f>G7*5</f>
        <v>0.75</v>
      </c>
      <c r="J7" s="221">
        <f>0</f>
        <v>0</v>
      </c>
      <c r="K7" s="221">
        <f t="shared" si="0"/>
        <v>3.6</v>
      </c>
    </row>
    <row r="8" spans="1:11">
      <c r="A8" s="434"/>
      <c r="B8" s="511"/>
      <c r="C8" s="122" t="s">
        <v>225</v>
      </c>
      <c r="D8" s="118">
        <v>5</v>
      </c>
      <c r="E8" s="7">
        <f t="shared" si="1"/>
        <v>0</v>
      </c>
      <c r="F8" s="117" t="s">
        <v>81</v>
      </c>
      <c r="G8" s="221">
        <f>D8/100</f>
        <v>0.05</v>
      </c>
      <c r="H8" s="221">
        <f>1*G8</f>
        <v>0.05</v>
      </c>
      <c r="I8" s="221">
        <f>G8*5</f>
        <v>0.25</v>
      </c>
      <c r="J8" s="221">
        <f>0</f>
        <v>0</v>
      </c>
      <c r="K8" s="221">
        <f t="shared" si="0"/>
        <v>1.2</v>
      </c>
    </row>
    <row r="9" spans="1:11" s="182" customFormat="1">
      <c r="A9" s="434"/>
      <c r="B9" s="511"/>
      <c r="C9" s="291" t="s">
        <v>547</v>
      </c>
      <c r="D9" s="2"/>
      <c r="E9" s="7"/>
      <c r="F9" s="117"/>
      <c r="G9" s="221"/>
      <c r="H9" s="221"/>
      <c r="I9" s="221"/>
      <c r="J9" s="221"/>
      <c r="K9" s="221"/>
    </row>
    <row r="10" spans="1:11">
      <c r="A10" s="434"/>
      <c r="B10" s="511"/>
      <c r="C10" s="105" t="s">
        <v>61</v>
      </c>
      <c r="D10" s="118">
        <v>2</v>
      </c>
      <c r="E10" s="7">
        <f t="shared" si="1"/>
        <v>0</v>
      </c>
      <c r="F10" s="117" t="s">
        <v>110</v>
      </c>
      <c r="G10" s="221">
        <f>D10/5</f>
        <v>0.4</v>
      </c>
      <c r="H10" s="221">
        <v>0</v>
      </c>
      <c r="I10" s="221">
        <v>0</v>
      </c>
      <c r="J10" s="221">
        <f>G10*5</f>
        <v>2</v>
      </c>
      <c r="K10" s="221">
        <f t="shared" si="0"/>
        <v>18</v>
      </c>
    </row>
    <row r="11" spans="1:11">
      <c r="A11" s="434"/>
      <c r="B11" s="447" t="s">
        <v>542</v>
      </c>
      <c r="C11" s="14" t="s">
        <v>544</v>
      </c>
      <c r="D11" s="6">
        <v>30</v>
      </c>
      <c r="E11" s="7">
        <f t="shared" si="1"/>
        <v>0</v>
      </c>
      <c r="F11" s="76" t="s">
        <v>112</v>
      </c>
      <c r="G11" s="221">
        <f>D11/35</f>
        <v>0.8571428571428571</v>
      </c>
      <c r="H11" s="221">
        <f>G11*7</f>
        <v>6</v>
      </c>
      <c r="I11" s="221">
        <f>G11*0</f>
        <v>0</v>
      </c>
      <c r="J11" s="221">
        <f>G11*3</f>
        <v>2.5714285714285712</v>
      </c>
      <c r="K11" s="221">
        <f t="shared" ref="K11:K24" si="2">H11*4+I11*4+J11*9</f>
        <v>47.142857142857139</v>
      </c>
    </row>
    <row r="12" spans="1:11">
      <c r="A12" s="434"/>
      <c r="B12" s="447"/>
      <c r="C12" s="14" t="s">
        <v>545</v>
      </c>
      <c r="D12" s="6">
        <v>10</v>
      </c>
      <c r="E12" s="7">
        <f t="shared" si="1"/>
        <v>0</v>
      </c>
      <c r="F12" s="117" t="s">
        <v>81</v>
      </c>
      <c r="G12" s="221">
        <f>D12/100</f>
        <v>0.1</v>
      </c>
      <c r="H12" s="221">
        <f>1*G12</f>
        <v>0.1</v>
      </c>
      <c r="I12" s="221">
        <f>G12*5</f>
        <v>0.5</v>
      </c>
      <c r="J12" s="221">
        <f>0</f>
        <v>0</v>
      </c>
      <c r="K12" s="221">
        <f t="shared" si="2"/>
        <v>2.4</v>
      </c>
    </row>
    <row r="13" spans="1:11">
      <c r="A13" s="434"/>
      <c r="B13" s="447"/>
      <c r="C13" s="105" t="s">
        <v>61</v>
      </c>
      <c r="D13" s="6">
        <v>2</v>
      </c>
      <c r="E13" s="7">
        <f t="shared" si="1"/>
        <v>0</v>
      </c>
      <c r="F13" s="117" t="s">
        <v>110</v>
      </c>
      <c r="G13" s="221">
        <f>D13/5</f>
        <v>0.4</v>
      </c>
      <c r="H13" s="221">
        <v>0</v>
      </c>
      <c r="I13" s="221">
        <v>0</v>
      </c>
      <c r="J13" s="221">
        <f>G13*5</f>
        <v>2</v>
      </c>
      <c r="K13" s="221">
        <f t="shared" si="2"/>
        <v>18</v>
      </c>
    </row>
    <row r="14" spans="1:11">
      <c r="A14" s="434"/>
      <c r="B14" s="511" t="s">
        <v>698</v>
      </c>
      <c r="C14" s="122" t="s">
        <v>79</v>
      </c>
      <c r="D14" s="118">
        <v>38</v>
      </c>
      <c r="E14" s="7">
        <f>D14*D1/1000</f>
        <v>0</v>
      </c>
      <c r="F14" s="117" t="s">
        <v>81</v>
      </c>
      <c r="G14" s="221">
        <f>D14/100</f>
        <v>0.38</v>
      </c>
      <c r="H14" s="221">
        <f>1*G14</f>
        <v>0.38</v>
      </c>
      <c r="I14" s="221">
        <f>G14*5</f>
        <v>1.9</v>
      </c>
      <c r="J14" s="221">
        <f>0</f>
        <v>0</v>
      </c>
      <c r="K14" s="221">
        <f t="shared" ref="K14:K18" si="3">H14*4+I14*4+J14*9</f>
        <v>9.1199999999999992</v>
      </c>
    </row>
    <row r="15" spans="1:11">
      <c r="A15" s="434"/>
      <c r="B15" s="511"/>
      <c r="C15" s="122" t="s">
        <v>224</v>
      </c>
      <c r="D15" s="118">
        <v>2</v>
      </c>
      <c r="E15" s="7">
        <f>D15*D1/1000</f>
        <v>0</v>
      </c>
      <c r="F15" s="117" t="s">
        <v>81</v>
      </c>
      <c r="G15" s="221">
        <f>D15/100</f>
        <v>0.02</v>
      </c>
      <c r="H15" s="221">
        <f>1*G15</f>
        <v>0.02</v>
      </c>
      <c r="I15" s="221">
        <f>G15*5</f>
        <v>0.1</v>
      </c>
      <c r="J15" s="221">
        <f>0</f>
        <v>0</v>
      </c>
      <c r="K15" s="221">
        <f t="shared" si="3"/>
        <v>0.48000000000000004</v>
      </c>
    </row>
    <row r="16" spans="1:11">
      <c r="A16" s="434"/>
      <c r="B16" s="511"/>
      <c r="C16" s="105" t="s">
        <v>61</v>
      </c>
      <c r="D16" s="118">
        <v>1</v>
      </c>
      <c r="E16" s="7">
        <f>D16*D1/1000</f>
        <v>0</v>
      </c>
      <c r="F16" s="117" t="s">
        <v>110</v>
      </c>
      <c r="G16" s="221">
        <f>D16/5</f>
        <v>0.2</v>
      </c>
      <c r="H16" s="221">
        <v>0</v>
      </c>
      <c r="I16" s="221">
        <v>0</v>
      </c>
      <c r="J16" s="221">
        <f>G16*5</f>
        <v>1</v>
      </c>
      <c r="K16" s="221">
        <f t="shared" si="3"/>
        <v>9</v>
      </c>
    </row>
    <row r="17" spans="1:11">
      <c r="A17" s="434"/>
      <c r="B17" s="512" t="s">
        <v>148</v>
      </c>
      <c r="C17" s="122" t="s">
        <v>356</v>
      </c>
      <c r="D17" s="118">
        <v>5</v>
      </c>
      <c r="E17" s="8">
        <f>D17*D1/1000</f>
        <v>0</v>
      </c>
      <c r="F17" s="117" t="s">
        <v>112</v>
      </c>
      <c r="G17" s="252">
        <f>D17/30</f>
        <v>0.16666666666666666</v>
      </c>
      <c r="H17" s="252">
        <f>G17*7</f>
        <v>1.1666666666666665</v>
      </c>
      <c r="I17" s="252"/>
      <c r="J17" s="252">
        <f>G17*3</f>
        <v>0.5</v>
      </c>
      <c r="K17" s="221">
        <f t="shared" si="3"/>
        <v>9.1666666666666661</v>
      </c>
    </row>
    <row r="18" spans="1:11">
      <c r="A18" s="435"/>
      <c r="B18" s="513"/>
      <c r="C18" s="122" t="s">
        <v>140</v>
      </c>
      <c r="D18" s="118">
        <v>25</v>
      </c>
      <c r="E18" s="7">
        <f>D18*D1/1000</f>
        <v>0</v>
      </c>
      <c r="F18" s="117" t="s">
        <v>81</v>
      </c>
      <c r="G18" s="221">
        <f>D18/100</f>
        <v>0.25</v>
      </c>
      <c r="H18" s="221">
        <f>1*G18</f>
        <v>0.25</v>
      </c>
      <c r="I18" s="221">
        <f>G18*5</f>
        <v>1.25</v>
      </c>
      <c r="J18" s="221">
        <f>0</f>
        <v>0</v>
      </c>
      <c r="K18" s="221">
        <f t="shared" si="3"/>
        <v>6</v>
      </c>
    </row>
    <row r="19" spans="1:11">
      <c r="A19" s="447" t="s">
        <v>2</v>
      </c>
      <c r="B19" s="500" t="s">
        <v>546</v>
      </c>
      <c r="C19" s="14" t="s">
        <v>84</v>
      </c>
      <c r="D19" s="6">
        <v>5</v>
      </c>
      <c r="E19" s="7">
        <f t="shared" si="1"/>
        <v>0</v>
      </c>
      <c r="F19" s="75" t="s">
        <v>88</v>
      </c>
      <c r="G19" s="221">
        <f>D19/25</f>
        <v>0.2</v>
      </c>
      <c r="H19" s="221">
        <f>G19*2</f>
        <v>0.4</v>
      </c>
      <c r="I19" s="221">
        <f>G19*15</f>
        <v>3</v>
      </c>
      <c r="J19" s="221">
        <f>G19*0</f>
        <v>0</v>
      </c>
      <c r="K19" s="221">
        <f t="shared" si="2"/>
        <v>13.6</v>
      </c>
    </row>
    <row r="20" spans="1:11">
      <c r="A20" s="447"/>
      <c r="B20" s="500"/>
      <c r="C20" s="14" t="s">
        <v>85</v>
      </c>
      <c r="D20" s="6">
        <v>2</v>
      </c>
      <c r="E20" s="7">
        <f t="shared" si="1"/>
        <v>0</v>
      </c>
      <c r="F20" s="75" t="s">
        <v>88</v>
      </c>
      <c r="G20" s="246">
        <v>0.1</v>
      </c>
      <c r="H20" s="246">
        <f>G20*2</f>
        <v>0.2</v>
      </c>
      <c r="I20" s="246">
        <f>G20*15</f>
        <v>1.5</v>
      </c>
      <c r="J20" s="246">
        <f>G20*0</f>
        <v>0</v>
      </c>
      <c r="K20" s="246">
        <f>H20*4+I20*4+J20*9</f>
        <v>6.8</v>
      </c>
    </row>
    <row r="21" spans="1:11">
      <c r="A21" s="447"/>
      <c r="B21" s="500"/>
      <c r="C21" s="14" t="s">
        <v>86</v>
      </c>
      <c r="D21" s="6">
        <v>10</v>
      </c>
      <c r="E21" s="7">
        <f t="shared" si="1"/>
        <v>0</v>
      </c>
      <c r="F21" s="75" t="s">
        <v>88</v>
      </c>
      <c r="G21" s="221">
        <v>0.5</v>
      </c>
      <c r="H21" s="221">
        <f>G21*2</f>
        <v>1</v>
      </c>
      <c r="I21" s="221">
        <f>G21*15</f>
        <v>7.5</v>
      </c>
      <c r="J21" s="221">
        <f>G21*0</f>
        <v>0</v>
      </c>
      <c r="K21" s="221">
        <f t="shared" si="2"/>
        <v>34</v>
      </c>
    </row>
    <row r="22" spans="1:11">
      <c r="A22" s="447"/>
      <c r="B22" s="500"/>
      <c r="C22" s="14" t="s">
        <v>87</v>
      </c>
      <c r="D22" s="6">
        <v>5</v>
      </c>
      <c r="E22" s="7">
        <f t="shared" si="1"/>
        <v>0</v>
      </c>
      <c r="F22" s="77" t="s">
        <v>24</v>
      </c>
      <c r="G22" s="221">
        <f>D22</f>
        <v>5</v>
      </c>
      <c r="H22" s="221"/>
      <c r="I22" s="221">
        <f>G22</f>
        <v>5</v>
      </c>
      <c r="J22" s="221">
        <f>0</f>
        <v>0</v>
      </c>
      <c r="K22" s="221">
        <f t="shared" si="2"/>
        <v>20</v>
      </c>
    </row>
    <row r="23" spans="1:11">
      <c r="A23" s="447"/>
      <c r="B23" s="2" t="s">
        <v>631</v>
      </c>
      <c r="C23" s="14" t="s">
        <v>632</v>
      </c>
      <c r="D23" s="190"/>
      <c r="E23" s="7"/>
      <c r="F23" s="186" t="s">
        <v>8</v>
      </c>
      <c r="G23" s="282">
        <v>1</v>
      </c>
      <c r="H23" s="282">
        <f>G23*0</f>
        <v>0</v>
      </c>
      <c r="I23" s="282">
        <f>G23*15</f>
        <v>15</v>
      </c>
      <c r="J23" s="282">
        <f>G23*0</f>
        <v>0</v>
      </c>
      <c r="K23" s="282">
        <f t="shared" si="2"/>
        <v>60</v>
      </c>
    </row>
    <row r="24" spans="1:11" ht="21">
      <c r="A24" s="487" t="s">
        <v>499</v>
      </c>
      <c r="B24" s="487"/>
      <c r="C24" s="234"/>
      <c r="D24" s="235"/>
      <c r="E24" s="235"/>
      <c r="F24" s="236"/>
      <c r="G24" s="236"/>
      <c r="H24" s="211">
        <f>SUM(H3:H23)</f>
        <v>28.716666666666665</v>
      </c>
      <c r="I24" s="211">
        <f>SUM(I3:I23)</f>
        <v>98.75</v>
      </c>
      <c r="J24" s="211">
        <f>SUM(J3:J23)</f>
        <v>22.071428571428569</v>
      </c>
      <c r="K24" s="289">
        <f t="shared" si="2"/>
        <v>708.50952380952378</v>
      </c>
    </row>
    <row r="25" spans="1:11" ht="19.5">
      <c r="A25" s="461" t="s">
        <v>537</v>
      </c>
      <c r="B25" s="462"/>
      <c r="C25" s="261"/>
      <c r="D25" s="261"/>
      <c r="E25" s="261"/>
      <c r="F25" s="262"/>
      <c r="G25" s="262"/>
      <c r="H25" s="257">
        <f>+H24*4/K24</f>
        <v>0.16212437914602754</v>
      </c>
      <c r="I25" s="257">
        <f>+I24*4/K24</f>
        <v>0.55750838446907325</v>
      </c>
      <c r="J25" s="257">
        <f>+J24*9/K24</f>
        <v>0.28036723638489919</v>
      </c>
      <c r="K25" s="257">
        <f>+H25+I25+J25</f>
        <v>1</v>
      </c>
    </row>
  </sheetData>
  <mergeCells count="12">
    <mergeCell ref="A25:B25"/>
    <mergeCell ref="B6:B10"/>
    <mergeCell ref="B11:B13"/>
    <mergeCell ref="B14:B16"/>
    <mergeCell ref="B17:B18"/>
    <mergeCell ref="B19:B22"/>
    <mergeCell ref="A19:A23"/>
    <mergeCell ref="A1:B1"/>
    <mergeCell ref="F1:K1"/>
    <mergeCell ref="A3:A4"/>
    <mergeCell ref="A5:A18"/>
    <mergeCell ref="A24:B24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70" zoomScaleNormal="70" workbookViewId="0">
      <selection activeCell="A35" sqref="A35:L35"/>
    </sheetView>
  </sheetViews>
  <sheetFormatPr defaultColWidth="9" defaultRowHeight="16.5"/>
  <cols>
    <col min="1" max="1" width="5.375" style="396" customWidth="1"/>
    <col min="2" max="2" width="30.5" style="397" bestFit="1" customWidth="1"/>
    <col min="3" max="3" width="15.875" style="397" customWidth="1"/>
    <col min="4" max="5" width="15.625" style="397" customWidth="1"/>
    <col min="6" max="6" width="14.5" style="397" customWidth="1"/>
    <col min="7" max="7" width="15.75" style="397" customWidth="1"/>
    <col min="8" max="8" width="29" style="397" customWidth="1"/>
    <col min="9" max="11" width="6.5" style="397" customWidth="1"/>
    <col min="12" max="12" width="6.125" style="397" customWidth="1"/>
    <col min="13" max="16384" width="9" style="363"/>
  </cols>
  <sheetData>
    <row r="1" spans="1:12" ht="19.7" customHeight="1">
      <c r="A1" s="426" t="s">
        <v>480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16.7" customHeight="1">
      <c r="A2" s="364"/>
      <c r="B2" s="427" t="s">
        <v>801</v>
      </c>
      <c r="C2" s="416" t="s">
        <v>802</v>
      </c>
      <c r="D2" s="417"/>
      <c r="E2" s="417"/>
      <c r="F2" s="417"/>
      <c r="G2" s="417"/>
      <c r="H2" s="429" t="s">
        <v>803</v>
      </c>
      <c r="I2" s="365" t="s">
        <v>133</v>
      </c>
      <c r="J2" s="365" t="s">
        <v>134</v>
      </c>
      <c r="K2" s="365" t="s">
        <v>135</v>
      </c>
      <c r="L2" s="365" t="s">
        <v>126</v>
      </c>
    </row>
    <row r="3" spans="1:12" ht="19.7" customHeight="1" thickBot="1">
      <c r="A3" s="366"/>
      <c r="B3" s="428"/>
      <c r="C3" s="367" t="s">
        <v>3</v>
      </c>
      <c r="D3" s="367" t="s">
        <v>4</v>
      </c>
      <c r="E3" s="367" t="s">
        <v>5</v>
      </c>
      <c r="F3" s="367" t="s">
        <v>6</v>
      </c>
      <c r="G3" s="367" t="s">
        <v>7</v>
      </c>
      <c r="H3" s="430"/>
      <c r="I3" s="368" t="s">
        <v>152</v>
      </c>
      <c r="J3" s="368" t="s">
        <v>152</v>
      </c>
      <c r="K3" s="368" t="s">
        <v>152</v>
      </c>
      <c r="L3" s="368" t="s">
        <v>153</v>
      </c>
    </row>
    <row r="4" spans="1:12" ht="22.7" customHeight="1">
      <c r="A4" s="369">
        <v>1</v>
      </c>
      <c r="B4" s="398" t="s">
        <v>804</v>
      </c>
      <c r="C4" s="370" t="s">
        <v>481</v>
      </c>
      <c r="D4" s="370" t="s">
        <v>91</v>
      </c>
      <c r="E4" s="370" t="s">
        <v>93</v>
      </c>
      <c r="F4" s="370" t="s">
        <v>675</v>
      </c>
      <c r="G4" s="370" t="s">
        <v>97</v>
      </c>
      <c r="H4" s="399" t="s">
        <v>805</v>
      </c>
      <c r="I4" s="371">
        <f>'1'!H41</f>
        <v>29.287848484848489</v>
      </c>
      <c r="J4" s="371">
        <f>'1'!I41</f>
        <v>97.284999999999968</v>
      </c>
      <c r="K4" s="371">
        <f>'1'!J41</f>
        <v>22.991558441558439</v>
      </c>
      <c r="L4" s="372">
        <f t="shared" ref="L4:L33" si="0">I4*4+J4*4+K4*9</f>
        <v>713.21541991341974</v>
      </c>
    </row>
    <row r="5" spans="1:12" s="375" customFormat="1" ht="22.7" customHeight="1">
      <c r="A5" s="373">
        <v>2</v>
      </c>
      <c r="B5" s="359" t="s">
        <v>482</v>
      </c>
      <c r="C5" s="356" t="s">
        <v>155</v>
      </c>
      <c r="D5" s="356" t="s">
        <v>156</v>
      </c>
      <c r="E5" s="356" t="s">
        <v>157</v>
      </c>
      <c r="F5" s="356" t="s">
        <v>676</v>
      </c>
      <c r="G5" s="356" t="s">
        <v>707</v>
      </c>
      <c r="H5" s="350" t="s">
        <v>708</v>
      </c>
      <c r="I5" s="374">
        <f>'2'!H27</f>
        <v>26.657620320855614</v>
      </c>
      <c r="J5" s="374">
        <f>'2'!I27</f>
        <v>101.80147058823529</v>
      </c>
      <c r="K5" s="374">
        <f>'2'!J27</f>
        <v>21.913636363636364</v>
      </c>
      <c r="L5" s="372">
        <f t="shared" si="0"/>
        <v>711.05909090909086</v>
      </c>
    </row>
    <row r="6" spans="1:12" s="375" customFormat="1" ht="22.7" customHeight="1">
      <c r="A6" s="373">
        <v>3</v>
      </c>
      <c r="B6" s="359" t="s">
        <v>709</v>
      </c>
      <c r="C6" s="416" t="s">
        <v>679</v>
      </c>
      <c r="D6" s="417"/>
      <c r="E6" s="417"/>
      <c r="F6" s="417"/>
      <c r="G6" s="418"/>
      <c r="H6" s="351" t="s">
        <v>626</v>
      </c>
      <c r="I6" s="372">
        <f>'3'!H27</f>
        <v>27.867532467532463</v>
      </c>
      <c r="J6" s="372">
        <f>'3'!I27</f>
        <v>97.267857142857139</v>
      </c>
      <c r="K6" s="372">
        <f>'3'!J27</f>
        <v>23.515584415584414</v>
      </c>
      <c r="L6" s="372">
        <f t="shared" si="0"/>
        <v>712.18181818181813</v>
      </c>
    </row>
    <row r="7" spans="1:12" s="375" customFormat="1" ht="22.7" customHeight="1">
      <c r="A7" s="373">
        <v>4</v>
      </c>
      <c r="B7" s="400" t="s">
        <v>806</v>
      </c>
      <c r="C7" s="359" t="s">
        <v>710</v>
      </c>
      <c r="D7" s="359" t="s">
        <v>711</v>
      </c>
      <c r="E7" s="359" t="s">
        <v>712</v>
      </c>
      <c r="F7" s="359" t="s">
        <v>681</v>
      </c>
      <c r="G7" s="359" t="s">
        <v>713</v>
      </c>
      <c r="H7" s="200" t="s">
        <v>807</v>
      </c>
      <c r="I7" s="372">
        <f>'4'!H35</f>
        <v>29.005555555555556</v>
      </c>
      <c r="J7" s="372">
        <f>'4'!I35</f>
        <v>96.166666666666657</v>
      </c>
      <c r="K7" s="372">
        <f>'4'!J35</f>
        <v>22.528571428571425</v>
      </c>
      <c r="L7" s="372">
        <f t="shared" si="0"/>
        <v>703.44603174603162</v>
      </c>
    </row>
    <row r="8" spans="1:12" s="375" customFormat="1" ht="22.7" customHeight="1" thickBot="1">
      <c r="A8" s="376">
        <v>5</v>
      </c>
      <c r="B8" s="352" t="s">
        <v>630</v>
      </c>
      <c r="C8" s="361" t="s">
        <v>714</v>
      </c>
      <c r="D8" s="361" t="s">
        <v>715</v>
      </c>
      <c r="E8" s="361" t="s">
        <v>716</v>
      </c>
      <c r="F8" s="361" t="s">
        <v>688</v>
      </c>
      <c r="G8" s="361" t="s">
        <v>717</v>
      </c>
      <c r="H8" s="353" t="s">
        <v>633</v>
      </c>
      <c r="I8" s="368">
        <f>'5'!H36</f>
        <v>28.137777777777771</v>
      </c>
      <c r="J8" s="368">
        <f>'5'!I36</f>
        <v>94.63333333333334</v>
      </c>
      <c r="K8" s="368">
        <f>'5'!J36</f>
        <v>21.764285714285716</v>
      </c>
      <c r="L8" s="368">
        <f t="shared" si="0"/>
        <v>686.96301587301582</v>
      </c>
    </row>
    <row r="9" spans="1:12" s="375" customFormat="1" ht="22.7" customHeight="1">
      <c r="A9" s="377">
        <v>6</v>
      </c>
      <c r="B9" s="354" t="s">
        <v>718</v>
      </c>
      <c r="C9" s="370" t="s">
        <v>710</v>
      </c>
      <c r="D9" s="370" t="s">
        <v>719</v>
      </c>
      <c r="E9" s="370" t="s">
        <v>720</v>
      </c>
      <c r="F9" s="370" t="s">
        <v>682</v>
      </c>
      <c r="G9" s="370" t="s">
        <v>721</v>
      </c>
      <c r="H9" s="378" t="s">
        <v>635</v>
      </c>
      <c r="I9" s="379">
        <f>'6'!H34</f>
        <v>26.13</v>
      </c>
      <c r="J9" s="379">
        <f>'6'!I34</f>
        <v>92.9</v>
      </c>
      <c r="K9" s="379">
        <f>'6'!J34</f>
        <v>21.923076923076923</v>
      </c>
      <c r="L9" s="374">
        <f t="shared" si="0"/>
        <v>673.42769230769227</v>
      </c>
    </row>
    <row r="10" spans="1:12" s="375" customFormat="1" ht="22.7" customHeight="1">
      <c r="A10" s="373">
        <v>7</v>
      </c>
      <c r="B10" s="359" t="s">
        <v>722</v>
      </c>
      <c r="C10" s="380" t="s">
        <v>723</v>
      </c>
      <c r="D10" s="380" t="s">
        <v>724</v>
      </c>
      <c r="E10" s="380" t="s">
        <v>725</v>
      </c>
      <c r="F10" s="381" t="s">
        <v>704</v>
      </c>
      <c r="G10" s="406" t="s">
        <v>839</v>
      </c>
      <c r="H10" s="358" t="s">
        <v>726</v>
      </c>
      <c r="I10" s="367">
        <f>'7'!H34</f>
        <v>30.659344216155361</v>
      </c>
      <c r="J10" s="367">
        <f>'7'!I34</f>
        <v>99.686254921549036</v>
      </c>
      <c r="K10" s="367">
        <f>'7'!J34</f>
        <v>21.771155160628844</v>
      </c>
      <c r="L10" s="372">
        <f t="shared" si="0"/>
        <v>717.32279299647712</v>
      </c>
    </row>
    <row r="11" spans="1:12" s="375" customFormat="1" ht="22.7" customHeight="1">
      <c r="A11" s="373">
        <v>8</v>
      </c>
      <c r="B11" s="359" t="s">
        <v>727</v>
      </c>
      <c r="C11" s="423" t="s">
        <v>685</v>
      </c>
      <c r="D11" s="424"/>
      <c r="E11" s="424"/>
      <c r="F11" s="424"/>
      <c r="G11" s="425"/>
      <c r="H11" s="358" t="s">
        <v>728</v>
      </c>
      <c r="I11" s="367">
        <f>'8'!H21</f>
        <v>27.014218232747645</v>
      </c>
      <c r="J11" s="367">
        <f>'8'!I21</f>
        <v>94.279201680672273</v>
      </c>
      <c r="K11" s="367">
        <f>'8'!J21</f>
        <v>22.489177489177486</v>
      </c>
      <c r="L11" s="372">
        <f t="shared" si="0"/>
        <v>687.57627705627704</v>
      </c>
    </row>
    <row r="12" spans="1:12" s="375" customFormat="1" ht="22.7" customHeight="1">
      <c r="A12" s="373">
        <v>9</v>
      </c>
      <c r="B12" s="355" t="s">
        <v>729</v>
      </c>
      <c r="C12" s="359" t="s">
        <v>730</v>
      </c>
      <c r="D12" s="359" t="s">
        <v>731</v>
      </c>
      <c r="E12" s="359" t="s">
        <v>732</v>
      </c>
      <c r="F12" s="359" t="s">
        <v>686</v>
      </c>
      <c r="G12" s="359" t="s">
        <v>733</v>
      </c>
      <c r="H12" s="351" t="s">
        <v>638</v>
      </c>
      <c r="I12" s="367">
        <f>'9'!H36</f>
        <v>27.99906060606061</v>
      </c>
      <c r="J12" s="367">
        <f>'9'!I36</f>
        <v>98.715000000000003</v>
      </c>
      <c r="K12" s="367">
        <f>'9'!J36</f>
        <v>20.301948051948052</v>
      </c>
      <c r="L12" s="372">
        <f t="shared" si="0"/>
        <v>689.57377489177497</v>
      </c>
    </row>
    <row r="13" spans="1:12" s="375" customFormat="1" ht="22.7" customHeight="1" thickBot="1">
      <c r="A13" s="382">
        <v>10</v>
      </c>
      <c r="B13" s="401" t="s">
        <v>808</v>
      </c>
      <c r="C13" s="361" t="s">
        <v>710</v>
      </c>
      <c r="D13" s="361" t="s">
        <v>734</v>
      </c>
      <c r="E13" s="361" t="s">
        <v>735</v>
      </c>
      <c r="F13" s="361" t="s">
        <v>687</v>
      </c>
      <c r="G13" s="361" t="s">
        <v>736</v>
      </c>
      <c r="H13" s="198" t="s">
        <v>809</v>
      </c>
      <c r="I13" s="368">
        <f>'10'!H29</f>
        <v>27.393024361259656</v>
      </c>
      <c r="J13" s="368">
        <f>'10'!I29</f>
        <v>106.34313725490196</v>
      </c>
      <c r="K13" s="368">
        <f>'10'!J29</f>
        <v>20.890909090909091</v>
      </c>
      <c r="L13" s="368">
        <f t="shared" si="0"/>
        <v>722.96282828282824</v>
      </c>
    </row>
    <row r="14" spans="1:12" s="375" customFormat="1" ht="22.7" customHeight="1">
      <c r="A14" s="369">
        <v>11</v>
      </c>
      <c r="B14" s="398" t="s">
        <v>814</v>
      </c>
      <c r="C14" s="356" t="s">
        <v>737</v>
      </c>
      <c r="D14" s="356" t="s">
        <v>738</v>
      </c>
      <c r="E14" s="356" t="s">
        <v>739</v>
      </c>
      <c r="F14" s="356" t="s">
        <v>690</v>
      </c>
      <c r="G14" s="356" t="s">
        <v>740</v>
      </c>
      <c r="H14" s="399" t="s">
        <v>815</v>
      </c>
      <c r="I14" s="379">
        <f>'11'!H34</f>
        <v>29.196666666666669</v>
      </c>
      <c r="J14" s="379">
        <f>'11'!I34</f>
        <v>95.6</v>
      </c>
      <c r="K14" s="379">
        <f>'11'!J34</f>
        <v>20.857142857142858</v>
      </c>
      <c r="L14" s="374">
        <f t="shared" si="0"/>
        <v>686.90095238095239</v>
      </c>
    </row>
    <row r="15" spans="1:12" s="375" customFormat="1" ht="22.7" customHeight="1">
      <c r="A15" s="373">
        <v>12</v>
      </c>
      <c r="B15" s="355" t="s">
        <v>741</v>
      </c>
      <c r="C15" s="356" t="s">
        <v>742</v>
      </c>
      <c r="D15" s="356" t="s">
        <v>743</v>
      </c>
      <c r="E15" s="356" t="s">
        <v>744</v>
      </c>
      <c r="F15" s="356" t="s">
        <v>691</v>
      </c>
      <c r="G15" s="356" t="s">
        <v>745</v>
      </c>
      <c r="H15" s="351" t="s">
        <v>641</v>
      </c>
      <c r="I15" s="367">
        <f>'12'!H30</f>
        <v>27.084313725490198</v>
      </c>
      <c r="J15" s="367">
        <f>'12'!I30</f>
        <v>103.13235294117646</v>
      </c>
      <c r="K15" s="367">
        <f>'12'!J30</f>
        <v>18.714285714285715</v>
      </c>
      <c r="L15" s="372">
        <f t="shared" si="0"/>
        <v>689.29523809523812</v>
      </c>
    </row>
    <row r="16" spans="1:12" s="375" customFormat="1" ht="22.7" customHeight="1">
      <c r="A16" s="373">
        <v>13</v>
      </c>
      <c r="B16" s="355" t="s">
        <v>746</v>
      </c>
      <c r="C16" s="416" t="s">
        <v>694</v>
      </c>
      <c r="D16" s="417"/>
      <c r="E16" s="417"/>
      <c r="F16" s="417"/>
      <c r="G16" s="418"/>
      <c r="H16" s="351" t="s">
        <v>658</v>
      </c>
      <c r="I16" s="367">
        <f>'13'!H29</f>
        <v>27.35822510822511</v>
      </c>
      <c r="J16" s="367">
        <f>'13'!I29</f>
        <v>95.811688311688314</v>
      </c>
      <c r="K16" s="367">
        <f>'13'!J29</f>
        <v>22.673076923076923</v>
      </c>
      <c r="L16" s="372">
        <f t="shared" si="0"/>
        <v>696.73734598734609</v>
      </c>
    </row>
    <row r="17" spans="1:12" s="375" customFormat="1" ht="22.7" customHeight="1">
      <c r="A17" s="373">
        <v>14</v>
      </c>
      <c r="B17" s="355" t="s">
        <v>747</v>
      </c>
      <c r="C17" s="359" t="s">
        <v>710</v>
      </c>
      <c r="D17" s="359" t="s">
        <v>748</v>
      </c>
      <c r="E17" s="359" t="s">
        <v>749</v>
      </c>
      <c r="F17" s="359" t="s">
        <v>695</v>
      </c>
      <c r="G17" s="359" t="s">
        <v>750</v>
      </c>
      <c r="H17" s="351" t="s">
        <v>647</v>
      </c>
      <c r="I17" s="367">
        <f>'14'!H28</f>
        <v>28.419679144385025</v>
      </c>
      <c r="J17" s="367">
        <f>'14'!I28</f>
        <v>101.22941176470587</v>
      </c>
      <c r="K17" s="367">
        <f>'14'!J28</f>
        <v>21.363636363636363</v>
      </c>
      <c r="L17" s="372">
        <f t="shared" si="0"/>
        <v>710.8690909090908</v>
      </c>
    </row>
    <row r="18" spans="1:12" s="375" customFormat="1" ht="22.7" customHeight="1" thickBot="1">
      <c r="A18" s="376">
        <v>15</v>
      </c>
      <c r="B18" s="352" t="s">
        <v>751</v>
      </c>
      <c r="C18" s="361" t="s">
        <v>752</v>
      </c>
      <c r="D18" s="361" t="s">
        <v>753</v>
      </c>
      <c r="E18" s="361" t="s">
        <v>754</v>
      </c>
      <c r="F18" s="361" t="s">
        <v>681</v>
      </c>
      <c r="G18" s="361" t="s">
        <v>755</v>
      </c>
      <c r="H18" s="407" t="s">
        <v>841</v>
      </c>
      <c r="I18" s="368">
        <f>'15'!H33</f>
        <v>28.179352346999408</v>
      </c>
      <c r="J18" s="368">
        <f>'15'!I33</f>
        <v>99.151960784313729</v>
      </c>
      <c r="K18" s="368">
        <f>'15'!J33</f>
        <v>23.185064935064936</v>
      </c>
      <c r="L18" s="368">
        <f t="shared" si="0"/>
        <v>717.99083694083697</v>
      </c>
    </row>
    <row r="19" spans="1:12" s="375" customFormat="1" ht="22.7" customHeight="1">
      <c r="A19" s="377">
        <v>16</v>
      </c>
      <c r="B19" s="356" t="s">
        <v>756</v>
      </c>
      <c r="C19" s="359" t="s">
        <v>710</v>
      </c>
      <c r="D19" s="359" t="s">
        <v>757</v>
      </c>
      <c r="E19" s="359" t="s">
        <v>758</v>
      </c>
      <c r="F19" s="359" t="s">
        <v>697</v>
      </c>
      <c r="G19" s="359" t="s">
        <v>759</v>
      </c>
      <c r="H19" s="357" t="s">
        <v>652</v>
      </c>
      <c r="I19" s="383">
        <f>'16'!H29</f>
        <v>26.514646464646464</v>
      </c>
      <c r="J19" s="383">
        <f>'16'!I29</f>
        <v>91.916666666666686</v>
      </c>
      <c r="K19" s="383">
        <f>'16'!J29</f>
        <v>21.79220779220779</v>
      </c>
      <c r="L19" s="374">
        <f t="shared" si="0"/>
        <v>669.85512265512273</v>
      </c>
    </row>
    <row r="20" spans="1:12" ht="22.7" customHeight="1">
      <c r="A20" s="373">
        <v>17</v>
      </c>
      <c r="B20" s="359" t="s">
        <v>760</v>
      </c>
      <c r="C20" s="359" t="s">
        <v>710</v>
      </c>
      <c r="D20" s="359" t="s">
        <v>761</v>
      </c>
      <c r="E20" s="359" t="s">
        <v>762</v>
      </c>
      <c r="F20" s="359" t="s">
        <v>698</v>
      </c>
      <c r="G20" s="359" t="s">
        <v>763</v>
      </c>
      <c r="H20" s="360" t="s">
        <v>653</v>
      </c>
      <c r="I20" s="372">
        <f>'17'!H24</f>
        <v>28.716666666666665</v>
      </c>
      <c r="J20" s="372">
        <f>'17'!I24</f>
        <v>98.75</v>
      </c>
      <c r="K20" s="372">
        <f>'17'!J24</f>
        <v>22.071428571428569</v>
      </c>
      <c r="L20" s="372">
        <f t="shared" si="0"/>
        <v>708.50952380952378</v>
      </c>
    </row>
    <row r="21" spans="1:12" s="375" customFormat="1" ht="22.7" customHeight="1">
      <c r="A21" s="373">
        <v>18</v>
      </c>
      <c r="B21" s="400" t="s">
        <v>817</v>
      </c>
      <c r="C21" s="419" t="s">
        <v>699</v>
      </c>
      <c r="D21" s="417"/>
      <c r="E21" s="417"/>
      <c r="F21" s="417"/>
      <c r="G21" s="418"/>
      <c r="H21" s="200" t="s">
        <v>816</v>
      </c>
      <c r="I21" s="384">
        <f>'18'!H32</f>
        <v>27.517121212121218</v>
      </c>
      <c r="J21" s="384">
        <f>'18'!I32</f>
        <v>104.3659090909091</v>
      </c>
      <c r="K21" s="384">
        <f>'18'!J32</f>
        <v>22.157142857142855</v>
      </c>
      <c r="L21" s="372">
        <f t="shared" si="0"/>
        <v>726.94640692640701</v>
      </c>
    </row>
    <row r="22" spans="1:12" s="375" customFormat="1" ht="22.7" customHeight="1">
      <c r="A22" s="373">
        <v>19</v>
      </c>
      <c r="B22" s="199" t="s">
        <v>823</v>
      </c>
      <c r="C22" s="359" t="s">
        <v>764</v>
      </c>
      <c r="D22" s="359" t="s">
        <v>765</v>
      </c>
      <c r="E22" s="359" t="s">
        <v>766</v>
      </c>
      <c r="F22" s="359" t="s">
        <v>700</v>
      </c>
      <c r="G22" s="359" t="s">
        <v>767</v>
      </c>
      <c r="H22" s="200" t="s">
        <v>820</v>
      </c>
      <c r="I22" s="384">
        <f>'19'!H38</f>
        <v>28.279090909090911</v>
      </c>
      <c r="J22" s="384">
        <f>'19'!I38</f>
        <v>95.949999999999989</v>
      </c>
      <c r="K22" s="384">
        <f>'19'!J38</f>
        <v>24.349350649350647</v>
      </c>
      <c r="L22" s="372">
        <f t="shared" si="0"/>
        <v>716.06051948051936</v>
      </c>
    </row>
    <row r="23" spans="1:12" s="375" customFormat="1" ht="22.7" customHeight="1" thickBot="1">
      <c r="A23" s="382">
        <v>20</v>
      </c>
      <c r="B23" s="402" t="s">
        <v>826</v>
      </c>
      <c r="C23" s="359" t="s">
        <v>768</v>
      </c>
      <c r="D23" s="359" t="s">
        <v>769</v>
      </c>
      <c r="E23" s="359" t="s">
        <v>770</v>
      </c>
      <c r="F23" s="359" t="s">
        <v>701</v>
      </c>
      <c r="G23" s="359" t="s">
        <v>771</v>
      </c>
      <c r="H23" s="201" t="s">
        <v>827</v>
      </c>
      <c r="I23" s="385">
        <f>'20'!H33</f>
        <v>27.337179487179487</v>
      </c>
      <c r="J23" s="385">
        <f>'20'!I33</f>
        <v>96.75</v>
      </c>
      <c r="K23" s="385">
        <f>'20'!J33</f>
        <v>22.737362637362637</v>
      </c>
      <c r="L23" s="368">
        <f t="shared" si="0"/>
        <v>700.98498168498168</v>
      </c>
    </row>
    <row r="24" spans="1:12" s="375" customFormat="1" ht="22.7" customHeight="1">
      <c r="A24" s="369">
        <v>21</v>
      </c>
      <c r="B24" s="370" t="s">
        <v>772</v>
      </c>
      <c r="C24" s="386" t="s">
        <v>737</v>
      </c>
      <c r="D24" s="386" t="s">
        <v>773</v>
      </c>
      <c r="E24" s="403" t="s">
        <v>828</v>
      </c>
      <c r="F24" s="387" t="s">
        <v>683</v>
      </c>
      <c r="G24" s="386" t="s">
        <v>486</v>
      </c>
      <c r="H24" s="408" t="s">
        <v>842</v>
      </c>
      <c r="I24" s="388">
        <f>'21'!H39</f>
        <v>26.705215053763443</v>
      </c>
      <c r="J24" s="388">
        <f>'21'!I39</f>
        <v>93.6</v>
      </c>
      <c r="K24" s="388">
        <f>'21'!J39</f>
        <v>22.039439324116742</v>
      </c>
      <c r="L24" s="374">
        <f t="shared" si="0"/>
        <v>679.57581413210437</v>
      </c>
    </row>
    <row r="25" spans="1:12" s="375" customFormat="1" ht="22.7" customHeight="1">
      <c r="A25" s="373">
        <v>22</v>
      </c>
      <c r="B25" s="359" t="s">
        <v>774</v>
      </c>
      <c r="C25" s="389" t="s">
        <v>710</v>
      </c>
      <c r="D25" s="389" t="s">
        <v>775</v>
      </c>
      <c r="E25" s="389" t="s">
        <v>776</v>
      </c>
      <c r="F25" s="389" t="s">
        <v>702</v>
      </c>
      <c r="G25" s="389" t="s">
        <v>777</v>
      </c>
      <c r="H25" s="360" t="s">
        <v>659</v>
      </c>
      <c r="I25" s="384">
        <f>'22'!H33</f>
        <v>27.437979797979796</v>
      </c>
      <c r="J25" s="384">
        <f>'22'!I33</f>
        <v>99.522222222222226</v>
      </c>
      <c r="K25" s="384">
        <f>'22'!J33</f>
        <v>21.754112554112556</v>
      </c>
      <c r="L25" s="372">
        <f t="shared" si="0"/>
        <v>703.62782106782106</v>
      </c>
    </row>
    <row r="26" spans="1:12" s="375" customFormat="1" ht="36" customHeight="1">
      <c r="A26" s="373">
        <v>23</v>
      </c>
      <c r="B26" s="355" t="s">
        <v>778</v>
      </c>
      <c r="C26" s="420" t="s">
        <v>844</v>
      </c>
      <c r="D26" s="417"/>
      <c r="E26" s="417"/>
      <c r="F26" s="417"/>
      <c r="G26" s="418"/>
      <c r="H26" s="360" t="s">
        <v>663</v>
      </c>
      <c r="I26" s="384">
        <f>'23'!H27</f>
        <v>28.354367290775961</v>
      </c>
      <c r="J26" s="384">
        <f>'23'!I27</f>
        <v>95.329859943977596</v>
      </c>
      <c r="K26" s="384">
        <f>'23'!J27</f>
        <v>22.61283979178716</v>
      </c>
      <c r="L26" s="372">
        <f t="shared" si="0"/>
        <v>698.2524670650987</v>
      </c>
    </row>
    <row r="27" spans="1:12" s="375" customFormat="1" ht="22.7" customHeight="1">
      <c r="A27" s="373">
        <v>24</v>
      </c>
      <c r="B27" s="359" t="s">
        <v>779</v>
      </c>
      <c r="C27" s="389" t="s">
        <v>780</v>
      </c>
      <c r="D27" s="389" t="s">
        <v>781</v>
      </c>
      <c r="E27" s="389" t="s">
        <v>782</v>
      </c>
      <c r="F27" s="389" t="s">
        <v>691</v>
      </c>
      <c r="G27" s="389" t="s">
        <v>783</v>
      </c>
      <c r="H27" s="404" t="s">
        <v>831</v>
      </c>
      <c r="I27" s="384">
        <f>'24'!H33</f>
        <v>28.328962566844922</v>
      </c>
      <c r="J27" s="384">
        <f>'24'!I33</f>
        <v>97.297219251336884</v>
      </c>
      <c r="K27" s="384">
        <f>'24'!J33</f>
        <v>22.757142857142856</v>
      </c>
      <c r="L27" s="372">
        <f t="shared" si="0"/>
        <v>707.31901298701291</v>
      </c>
    </row>
    <row r="28" spans="1:12" s="375" customFormat="1" ht="22.7" customHeight="1" thickBot="1">
      <c r="A28" s="376">
        <v>25</v>
      </c>
      <c r="B28" s="361" t="s">
        <v>784</v>
      </c>
      <c r="C28" s="390" t="s">
        <v>764</v>
      </c>
      <c r="D28" s="390" t="s">
        <v>785</v>
      </c>
      <c r="E28" s="390" t="s">
        <v>786</v>
      </c>
      <c r="F28" s="390" t="s">
        <v>704</v>
      </c>
      <c r="G28" s="390" t="s">
        <v>787</v>
      </c>
      <c r="H28" s="353" t="s">
        <v>669</v>
      </c>
      <c r="I28" s="391">
        <f>'25'!H31</f>
        <v>31.137222222222221</v>
      </c>
      <c r="J28" s="391">
        <f>'25'!I31</f>
        <v>105.68611111111112</v>
      </c>
      <c r="K28" s="391">
        <f>'25'!J31</f>
        <v>18.285714285714281</v>
      </c>
      <c r="L28" s="368">
        <f t="shared" si="0"/>
        <v>711.86476190476185</v>
      </c>
    </row>
    <row r="29" spans="1:12" s="375" customFormat="1" ht="22.7" customHeight="1">
      <c r="A29" s="377">
        <v>26</v>
      </c>
      <c r="B29" s="356" t="s">
        <v>788</v>
      </c>
      <c r="C29" s="389" t="s">
        <v>730</v>
      </c>
      <c r="D29" s="389" t="s">
        <v>789</v>
      </c>
      <c r="E29" s="389" t="s">
        <v>790</v>
      </c>
      <c r="F29" s="389" t="s">
        <v>678</v>
      </c>
      <c r="G29" s="389" t="s">
        <v>791</v>
      </c>
      <c r="H29" s="362" t="s">
        <v>792</v>
      </c>
      <c r="I29" s="383">
        <f>'26'!H43</f>
        <v>27.750505050505048</v>
      </c>
      <c r="J29" s="383">
        <f>'26'!I43</f>
        <v>97.783333333333331</v>
      </c>
      <c r="K29" s="383">
        <f>'26'!J43</f>
        <v>22.885281385281385</v>
      </c>
      <c r="L29" s="374">
        <f t="shared" si="0"/>
        <v>708.10288600288595</v>
      </c>
    </row>
    <row r="30" spans="1:12" s="375" customFormat="1" ht="22.7" customHeight="1">
      <c r="A30" s="373">
        <v>27</v>
      </c>
      <c r="B30" s="355" t="s">
        <v>793</v>
      </c>
      <c r="C30" s="416" t="s">
        <v>706</v>
      </c>
      <c r="D30" s="417"/>
      <c r="E30" s="417"/>
      <c r="F30" s="417"/>
      <c r="G30" s="418"/>
      <c r="H30" s="351" t="s">
        <v>670</v>
      </c>
      <c r="I30" s="384">
        <f>'27'!H29</f>
        <v>27.601666666666674</v>
      </c>
      <c r="J30" s="384">
        <f>'27'!I29</f>
        <v>103.675</v>
      </c>
      <c r="K30" s="384">
        <f>'27'!J29</f>
        <v>20.226190476190474</v>
      </c>
      <c r="L30" s="372">
        <f t="shared" si="0"/>
        <v>707.14238095238102</v>
      </c>
    </row>
    <row r="31" spans="1:12" s="375" customFormat="1" ht="22.7" customHeight="1">
      <c r="A31" s="373">
        <v>28</v>
      </c>
      <c r="B31" s="405" t="s">
        <v>834</v>
      </c>
      <c r="C31" s="392" t="s">
        <v>487</v>
      </c>
      <c r="D31" s="202" t="s">
        <v>488</v>
      </c>
      <c r="E31" s="202" t="s">
        <v>794</v>
      </c>
      <c r="F31" s="202" t="s">
        <v>489</v>
      </c>
      <c r="G31" s="202" t="s">
        <v>795</v>
      </c>
      <c r="H31" s="197" t="s">
        <v>835</v>
      </c>
      <c r="I31" s="384">
        <f>'28'!H30</f>
        <v>26.750681818181821</v>
      </c>
      <c r="J31" s="384">
        <f>'28'!I30</f>
        <v>94.699999999999989</v>
      </c>
      <c r="K31" s="384">
        <f>'28'!J30</f>
        <v>22.591720779220779</v>
      </c>
      <c r="L31" s="372">
        <f t="shared" si="0"/>
        <v>689.12821428571419</v>
      </c>
    </row>
    <row r="32" spans="1:12" s="375" customFormat="1" ht="22.7" customHeight="1">
      <c r="A32" s="373">
        <v>29</v>
      </c>
      <c r="B32" s="359" t="s">
        <v>796</v>
      </c>
      <c r="C32" s="393" t="s">
        <v>752</v>
      </c>
      <c r="D32" s="393" t="s">
        <v>490</v>
      </c>
      <c r="E32" s="393" t="s">
        <v>491</v>
      </c>
      <c r="F32" s="394" t="s">
        <v>492</v>
      </c>
      <c r="G32" s="393" t="s">
        <v>493</v>
      </c>
      <c r="H32" s="360" t="s">
        <v>671</v>
      </c>
      <c r="I32" s="384">
        <f>'29'!H26</f>
        <v>29.356710526315783</v>
      </c>
      <c r="J32" s="384">
        <f>'29'!I26</f>
        <v>107.80000000000001</v>
      </c>
      <c r="K32" s="384">
        <f>'29'!J26</f>
        <v>18.641447368421055</v>
      </c>
      <c r="L32" s="372">
        <f t="shared" si="0"/>
        <v>716.3998684210527</v>
      </c>
    </row>
    <row r="33" spans="1:12" s="375" customFormat="1" ht="22.7" customHeight="1">
      <c r="A33" s="373">
        <v>30</v>
      </c>
      <c r="B33" s="400" t="s">
        <v>836</v>
      </c>
      <c r="C33" s="395" t="s">
        <v>710</v>
      </c>
      <c r="D33" s="395" t="s">
        <v>797</v>
      </c>
      <c r="E33" s="395" t="s">
        <v>798</v>
      </c>
      <c r="F33" s="395" t="s">
        <v>676</v>
      </c>
      <c r="G33" s="395" t="s">
        <v>799</v>
      </c>
      <c r="H33" s="200" t="s">
        <v>837</v>
      </c>
      <c r="I33" s="384">
        <f>'30'!H29</f>
        <v>28.648333333333333</v>
      </c>
      <c r="J33" s="384">
        <f>'30'!I29</f>
        <v>95.075000000000003</v>
      </c>
      <c r="K33" s="384">
        <f>'30'!J29</f>
        <v>22.142857142857142</v>
      </c>
      <c r="L33" s="372">
        <f t="shared" si="0"/>
        <v>694.17904761904765</v>
      </c>
    </row>
    <row r="34" spans="1:12">
      <c r="A34" s="421" t="s">
        <v>800</v>
      </c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</row>
    <row r="35" spans="1:12" ht="25.5">
      <c r="A35" s="567" t="s">
        <v>845</v>
      </c>
      <c r="B35" s="567"/>
      <c r="C35" s="567"/>
      <c r="D35" s="567"/>
      <c r="E35" s="567"/>
      <c r="F35" s="567"/>
      <c r="G35" s="567"/>
      <c r="H35" s="567"/>
      <c r="I35" s="567"/>
      <c r="J35" s="567"/>
      <c r="K35" s="567"/>
      <c r="L35" s="567"/>
    </row>
  </sheetData>
  <mergeCells count="12">
    <mergeCell ref="A35:L35"/>
    <mergeCell ref="C11:G11"/>
    <mergeCell ref="A1:L1"/>
    <mergeCell ref="B2:B3"/>
    <mergeCell ref="C2:G2"/>
    <mergeCell ref="H2:H3"/>
    <mergeCell ref="C6:G6"/>
    <mergeCell ref="C16:G16"/>
    <mergeCell ref="C21:G21"/>
    <mergeCell ref="C26:G26"/>
    <mergeCell ref="C30:G30"/>
    <mergeCell ref="A34:L34"/>
  </mergeCells>
  <phoneticPr fontId="3" type="noConversion"/>
  <pageMargins left="0.27559055118110237" right="0.23622047244094491" top="0.19685039370078741" bottom="3.937007874015748E-2" header="0" footer="0"/>
  <pageSetup paperSize="9" scale="7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3"/>
  <sheetViews>
    <sheetView topLeftCell="A4" zoomScale="70" zoomScaleNormal="70" zoomScaleSheetLayoutView="85" workbookViewId="0">
      <selection activeCell="C30" sqref="C30:K30"/>
    </sheetView>
  </sheetViews>
  <sheetFormatPr defaultRowHeight="16.5"/>
  <cols>
    <col min="1" max="1" width="5.5" customWidth="1"/>
    <col min="2" max="2" width="11.5" style="103" customWidth="1"/>
    <col min="3" max="3" width="12.25" style="103" customWidth="1"/>
    <col min="4" max="4" width="6.375" style="103" customWidth="1"/>
    <col min="5" max="5" width="8.875" style="103" customWidth="1"/>
    <col min="6" max="6" width="5.5" style="80" customWidth="1"/>
    <col min="7" max="7" width="6.625" style="80" customWidth="1"/>
    <col min="8" max="8" width="10.25" style="80" customWidth="1"/>
    <col min="9" max="9" width="9.5" style="80" bestFit="1" customWidth="1"/>
    <col min="10" max="10" width="7.625" style="80" customWidth="1"/>
    <col min="11" max="11" width="8.375" style="80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23" t="s">
        <v>327</v>
      </c>
      <c r="B2" s="25" t="s">
        <v>17</v>
      </c>
      <c r="C2" s="163" t="s">
        <v>18</v>
      </c>
      <c r="D2" s="25" t="s">
        <v>20</v>
      </c>
      <c r="E2" s="25" t="s">
        <v>131</v>
      </c>
      <c r="F2" s="102" t="s">
        <v>130</v>
      </c>
      <c r="G2" s="102" t="s">
        <v>132</v>
      </c>
      <c r="H2" s="102" t="s">
        <v>330</v>
      </c>
      <c r="I2" s="75" t="s">
        <v>331</v>
      </c>
      <c r="J2" s="75" t="s">
        <v>332</v>
      </c>
      <c r="K2" s="75" t="s">
        <v>333</v>
      </c>
    </row>
    <row r="3" spans="1:11">
      <c r="A3" s="514" t="s">
        <v>0</v>
      </c>
      <c r="B3" s="508" t="s">
        <v>142</v>
      </c>
      <c r="C3" s="105" t="s">
        <v>435</v>
      </c>
      <c r="D3" s="104">
        <v>8</v>
      </c>
      <c r="E3" s="7">
        <f>D3*D$1/1000</f>
        <v>0</v>
      </c>
      <c r="F3" s="76" t="s">
        <v>112</v>
      </c>
      <c r="G3" s="100">
        <f>8/30</f>
        <v>0.26666666666666666</v>
      </c>
      <c r="H3" s="84">
        <f>G3*7</f>
        <v>1.8666666666666667</v>
      </c>
      <c r="I3" s="84"/>
      <c r="J3" s="84">
        <f>G3*3</f>
        <v>0.8</v>
      </c>
      <c r="K3" s="84">
        <f t="shared" ref="K3:K5" si="0">H3*4+I3*4+J3*9</f>
        <v>14.666666666666668</v>
      </c>
    </row>
    <row r="4" spans="1:11">
      <c r="A4" s="515"/>
      <c r="B4" s="510"/>
      <c r="C4" s="164" t="s">
        <v>44</v>
      </c>
      <c r="D4" s="137" t="s">
        <v>326</v>
      </c>
      <c r="E4" s="7"/>
      <c r="F4" s="76" t="s">
        <v>88</v>
      </c>
      <c r="G4" s="84">
        <v>1</v>
      </c>
      <c r="H4" s="84">
        <f>G4*2</f>
        <v>2</v>
      </c>
      <c r="I4" s="84">
        <f>G4*15</f>
        <v>15</v>
      </c>
      <c r="J4" s="84">
        <v>0</v>
      </c>
      <c r="K4" s="84">
        <f t="shared" si="0"/>
        <v>68</v>
      </c>
    </row>
    <row r="5" spans="1:11">
      <c r="A5" s="515"/>
      <c r="B5" s="509"/>
      <c r="C5" s="105" t="s">
        <v>325</v>
      </c>
      <c r="D5" s="104">
        <v>3</v>
      </c>
      <c r="E5" s="7">
        <f>D5*D$1/1000</f>
        <v>0</v>
      </c>
      <c r="F5" s="75" t="s">
        <v>110</v>
      </c>
      <c r="G5" s="84">
        <f>D5/10</f>
        <v>0.3</v>
      </c>
      <c r="H5" s="84">
        <v>0</v>
      </c>
      <c r="I5" s="84">
        <v>0</v>
      </c>
      <c r="J5" s="84">
        <f>G5*5</f>
        <v>1.5</v>
      </c>
      <c r="K5" s="84">
        <f t="shared" si="0"/>
        <v>13.5</v>
      </c>
    </row>
    <row r="6" spans="1:11">
      <c r="A6" s="515"/>
      <c r="B6" s="440" t="s">
        <v>819</v>
      </c>
      <c r="C6" s="227" t="s">
        <v>818</v>
      </c>
      <c r="D6" s="347">
        <v>0</v>
      </c>
      <c r="E6" s="7"/>
      <c r="F6" s="346"/>
      <c r="G6" s="221"/>
      <c r="H6" s="221"/>
      <c r="I6" s="221"/>
      <c r="J6" s="221"/>
      <c r="K6" s="221"/>
    </row>
    <row r="7" spans="1:11" s="342" customFormat="1">
      <c r="A7" s="516"/>
      <c r="B7" s="435"/>
      <c r="C7" s="216" t="s">
        <v>504</v>
      </c>
      <c r="D7" s="349">
        <v>5</v>
      </c>
      <c r="E7" s="7">
        <f t="shared" ref="E7" si="1">D7*D$1/1000</f>
        <v>0</v>
      </c>
      <c r="F7" s="349"/>
      <c r="G7" s="294"/>
      <c r="H7" s="294"/>
      <c r="I7" s="294">
        <f>D7</f>
        <v>5</v>
      </c>
      <c r="J7" s="341"/>
      <c r="K7" s="294">
        <f>H7*4+I7*4+J7*9</f>
        <v>20</v>
      </c>
    </row>
    <row r="8" spans="1:11">
      <c r="A8" s="514" t="s">
        <v>1</v>
      </c>
      <c r="B8" s="500" t="s">
        <v>375</v>
      </c>
      <c r="C8" s="131" t="s">
        <v>374</v>
      </c>
      <c r="D8" s="2">
        <v>40</v>
      </c>
      <c r="E8" s="7">
        <f>D8*D$1/1000</f>
        <v>0</v>
      </c>
      <c r="F8" s="117" t="s">
        <v>88</v>
      </c>
      <c r="G8" s="127">
        <v>2</v>
      </c>
      <c r="H8" s="83">
        <f>G8*2</f>
        <v>4</v>
      </c>
      <c r="I8" s="84">
        <f>G8*15</f>
        <v>30</v>
      </c>
      <c r="J8" s="84">
        <v>0</v>
      </c>
      <c r="K8" s="84">
        <f>H8*4+I8*4+J8*9</f>
        <v>136</v>
      </c>
    </row>
    <row r="9" spans="1:11">
      <c r="A9" s="515"/>
      <c r="B9" s="500"/>
      <c r="C9" s="131" t="s">
        <v>376</v>
      </c>
      <c r="D9" s="2">
        <v>5</v>
      </c>
      <c r="E9" s="7">
        <f t="shared" ref="E9:E30" si="2">D9*D$1/1000</f>
        <v>0</v>
      </c>
      <c r="F9" s="117" t="s">
        <v>81</v>
      </c>
      <c r="G9" s="84">
        <f>D9/100</f>
        <v>0.05</v>
      </c>
      <c r="H9" s="84">
        <f>1*G9</f>
        <v>0.05</v>
      </c>
      <c r="I9" s="84">
        <f>G9*5</f>
        <v>0.25</v>
      </c>
      <c r="J9" s="84">
        <f>0</f>
        <v>0</v>
      </c>
      <c r="K9" s="84">
        <f>H9*4+I9*4+J9*9</f>
        <v>1.2</v>
      </c>
    </row>
    <row r="10" spans="1:11">
      <c r="A10" s="515"/>
      <c r="B10" s="500"/>
      <c r="C10" s="131" t="s">
        <v>19</v>
      </c>
      <c r="D10" s="2">
        <v>2</v>
      </c>
      <c r="E10" s="7">
        <f t="shared" si="2"/>
        <v>0</v>
      </c>
      <c r="F10" s="119" t="s">
        <v>24</v>
      </c>
      <c r="G10" s="127"/>
      <c r="H10" s="295"/>
      <c r="I10" s="295"/>
      <c r="J10" s="295"/>
      <c r="K10" s="295"/>
    </row>
    <row r="11" spans="1:11">
      <c r="A11" s="515"/>
      <c r="B11" s="500"/>
      <c r="C11" s="132" t="s">
        <v>377</v>
      </c>
      <c r="D11" s="2">
        <v>20</v>
      </c>
      <c r="E11" s="7">
        <f t="shared" si="2"/>
        <v>0</v>
      </c>
      <c r="F11" s="117" t="s">
        <v>112</v>
      </c>
      <c r="G11" s="84">
        <f>D11/35</f>
        <v>0.5714285714285714</v>
      </c>
      <c r="H11" s="84">
        <f>G11*7</f>
        <v>4</v>
      </c>
      <c r="I11" s="84"/>
      <c r="J11" s="84">
        <f>G11*5</f>
        <v>2.8571428571428568</v>
      </c>
      <c r="K11" s="84">
        <f>H11*4+I11*4+J11*9</f>
        <v>41.714285714285708</v>
      </c>
    </row>
    <row r="12" spans="1:11">
      <c r="A12" s="515"/>
      <c r="B12" s="500"/>
      <c r="C12" s="132" t="s">
        <v>378</v>
      </c>
      <c r="D12" s="2">
        <v>3</v>
      </c>
      <c r="E12" s="7">
        <f t="shared" si="2"/>
        <v>0</v>
      </c>
      <c r="F12" s="117" t="s">
        <v>88</v>
      </c>
      <c r="G12" s="127">
        <f>D12/20</f>
        <v>0.15</v>
      </c>
      <c r="H12" s="83">
        <f>G12*2</f>
        <v>0.3</v>
      </c>
      <c r="I12" s="84">
        <f>G12*15</f>
        <v>2.25</v>
      </c>
      <c r="J12" s="84">
        <v>0</v>
      </c>
      <c r="K12" s="84">
        <f>H12*4+I12*4+J12*9</f>
        <v>10.199999999999999</v>
      </c>
    </row>
    <row r="13" spans="1:11">
      <c r="A13" s="515"/>
      <c r="B13" s="500"/>
      <c r="C13" s="132" t="s">
        <v>64</v>
      </c>
      <c r="D13" s="2">
        <v>2</v>
      </c>
      <c r="E13" s="7">
        <f t="shared" si="2"/>
        <v>0</v>
      </c>
      <c r="F13" s="117" t="s">
        <v>110</v>
      </c>
      <c r="G13" s="84">
        <f>D13/5</f>
        <v>0.4</v>
      </c>
      <c r="H13" s="84">
        <f>0</f>
        <v>0</v>
      </c>
      <c r="I13" s="84">
        <f>G13*0</f>
        <v>0</v>
      </c>
      <c r="J13" s="84">
        <f>G13*5</f>
        <v>2</v>
      </c>
      <c r="K13" s="84">
        <v>22.5</v>
      </c>
    </row>
    <row r="14" spans="1:11">
      <c r="A14" s="515"/>
      <c r="B14" s="500"/>
      <c r="C14" s="132" t="s">
        <v>37</v>
      </c>
      <c r="D14" s="2">
        <v>0.5</v>
      </c>
      <c r="E14" s="7">
        <f t="shared" si="2"/>
        <v>0</v>
      </c>
      <c r="F14" s="119" t="s">
        <v>24</v>
      </c>
      <c r="G14" s="127"/>
      <c r="H14" s="295"/>
      <c r="I14" s="295"/>
      <c r="J14" s="295"/>
      <c r="K14" s="295"/>
    </row>
    <row r="15" spans="1:11">
      <c r="A15" s="515"/>
      <c r="B15" s="500"/>
      <c r="C15" s="132" t="s">
        <v>360</v>
      </c>
      <c r="D15" s="2">
        <v>3</v>
      </c>
      <c r="E15" s="7">
        <f t="shared" si="2"/>
        <v>0</v>
      </c>
      <c r="F15" s="119" t="s">
        <v>24</v>
      </c>
      <c r="G15" s="127"/>
      <c r="H15" s="295"/>
      <c r="I15" s="295"/>
      <c r="J15" s="295"/>
      <c r="K15" s="295"/>
    </row>
    <row r="16" spans="1:11">
      <c r="A16" s="515"/>
      <c r="B16" s="458" t="s">
        <v>557</v>
      </c>
      <c r="C16" s="132" t="s">
        <v>558</v>
      </c>
      <c r="D16" s="2">
        <v>30</v>
      </c>
      <c r="E16" s="7">
        <f t="shared" si="2"/>
        <v>0</v>
      </c>
      <c r="F16" s="117" t="s">
        <v>81</v>
      </c>
      <c r="G16" s="84">
        <f>D16/100</f>
        <v>0.3</v>
      </c>
      <c r="H16" s="84">
        <f>1*G16</f>
        <v>0.3</v>
      </c>
      <c r="I16" s="84">
        <f>G16*5</f>
        <v>1.5</v>
      </c>
      <c r="J16" s="84">
        <f>0</f>
        <v>0</v>
      </c>
      <c r="K16" s="84">
        <f>H16*4+I16*4+J16*9</f>
        <v>7.2</v>
      </c>
    </row>
    <row r="17" spans="1:11" s="182" customFormat="1">
      <c r="A17" s="515"/>
      <c r="B17" s="459"/>
      <c r="C17" s="132" t="s">
        <v>506</v>
      </c>
      <c r="D17" s="2">
        <v>15</v>
      </c>
      <c r="E17" s="7">
        <f t="shared" si="2"/>
        <v>0</v>
      </c>
      <c r="F17" s="117" t="s">
        <v>112</v>
      </c>
      <c r="G17" s="84">
        <f>D17/35</f>
        <v>0.42857142857142855</v>
      </c>
      <c r="H17" s="84">
        <f>G17*7</f>
        <v>3</v>
      </c>
      <c r="I17" s="84"/>
      <c r="J17" s="84">
        <f>G17*5</f>
        <v>2.1428571428571428</v>
      </c>
      <c r="K17" s="84">
        <f>H17*4+I17*4+J17*9</f>
        <v>31.285714285714285</v>
      </c>
    </row>
    <row r="18" spans="1:11">
      <c r="A18" s="515"/>
      <c r="B18" s="459"/>
      <c r="C18" s="132" t="s">
        <v>19</v>
      </c>
      <c r="D18" s="2">
        <v>1</v>
      </c>
      <c r="E18" s="7">
        <f t="shared" si="2"/>
        <v>0</v>
      </c>
      <c r="F18" s="119" t="s">
        <v>24</v>
      </c>
      <c r="G18" s="295"/>
      <c r="H18" s="295"/>
      <c r="I18" s="295"/>
      <c r="J18" s="295"/>
      <c r="K18" s="295"/>
    </row>
    <row r="19" spans="1:11">
      <c r="A19" s="515"/>
      <c r="B19" s="459"/>
      <c r="C19" s="132" t="s">
        <v>52</v>
      </c>
      <c r="D19" s="2" t="s">
        <v>182</v>
      </c>
      <c r="E19" s="7"/>
      <c r="F19" s="119" t="s">
        <v>24</v>
      </c>
      <c r="G19" s="295"/>
      <c r="H19" s="295"/>
      <c r="I19" s="295"/>
      <c r="J19" s="295"/>
      <c r="K19" s="295"/>
    </row>
    <row r="20" spans="1:11">
      <c r="A20" s="515"/>
      <c r="B20" s="460"/>
      <c r="C20" s="105" t="s">
        <v>61</v>
      </c>
      <c r="D20" s="2">
        <v>2</v>
      </c>
      <c r="E20" s="7">
        <f t="shared" si="2"/>
        <v>0</v>
      </c>
      <c r="F20" s="196" t="s">
        <v>110</v>
      </c>
      <c r="G20" s="84">
        <f>D20/5</f>
        <v>0.4</v>
      </c>
      <c r="H20" s="84">
        <f>0</f>
        <v>0</v>
      </c>
      <c r="I20" s="84">
        <f>G20*0</f>
        <v>0</v>
      </c>
      <c r="J20" s="84">
        <f>G20*5</f>
        <v>2</v>
      </c>
      <c r="K20" s="84">
        <v>22.5</v>
      </c>
    </row>
    <row r="21" spans="1:11">
      <c r="A21" s="515"/>
      <c r="B21" s="458" t="s">
        <v>687</v>
      </c>
      <c r="C21" s="132" t="s">
        <v>379</v>
      </c>
      <c r="D21" s="2">
        <v>30</v>
      </c>
      <c r="E21" s="7">
        <f t="shared" si="2"/>
        <v>0</v>
      </c>
      <c r="F21" s="117" t="s">
        <v>81</v>
      </c>
      <c r="G21" s="84">
        <f>D21/100</f>
        <v>0.3</v>
      </c>
      <c r="H21" s="84">
        <f>1*G21</f>
        <v>0.3</v>
      </c>
      <c r="I21" s="84">
        <f>G21*5</f>
        <v>1.5</v>
      </c>
      <c r="J21" s="84">
        <f>0</f>
        <v>0</v>
      </c>
      <c r="K21" s="84">
        <f>H21*4+I21*4+J21*9</f>
        <v>7.2</v>
      </c>
    </row>
    <row r="22" spans="1:11">
      <c r="A22" s="515"/>
      <c r="B22" s="459"/>
      <c r="C22" s="134" t="s">
        <v>52</v>
      </c>
      <c r="D22" s="121" t="s">
        <v>182</v>
      </c>
      <c r="E22" s="7"/>
      <c r="F22" s="135" t="s">
        <v>24</v>
      </c>
      <c r="G22" s="296"/>
      <c r="H22" s="296"/>
      <c r="I22" s="296"/>
      <c r="J22" s="296"/>
      <c r="K22" s="296"/>
    </row>
    <row r="23" spans="1:11">
      <c r="A23" s="515"/>
      <c r="B23" s="460"/>
      <c r="C23" s="105" t="s">
        <v>61</v>
      </c>
      <c r="D23" s="2">
        <v>1</v>
      </c>
      <c r="E23" s="7">
        <f t="shared" si="2"/>
        <v>0</v>
      </c>
      <c r="F23" s="196" t="s">
        <v>110</v>
      </c>
      <c r="G23" s="84">
        <f>D23/5</f>
        <v>0.2</v>
      </c>
      <c r="H23" s="84">
        <f>0</f>
        <v>0</v>
      </c>
      <c r="I23" s="84">
        <f>G23*0</f>
        <v>0</v>
      </c>
      <c r="J23" s="84">
        <f>G23*5</f>
        <v>1</v>
      </c>
      <c r="K23" s="84">
        <v>22.5</v>
      </c>
    </row>
    <row r="24" spans="1:11">
      <c r="A24" s="515"/>
      <c r="B24" s="508" t="s">
        <v>549</v>
      </c>
      <c r="C24" s="147" t="s">
        <v>552</v>
      </c>
      <c r="D24" s="104">
        <v>15</v>
      </c>
      <c r="E24" s="7">
        <f t="shared" si="2"/>
        <v>0</v>
      </c>
      <c r="F24" s="117" t="s">
        <v>81</v>
      </c>
      <c r="G24" s="84">
        <f>D24/100</f>
        <v>0.15</v>
      </c>
      <c r="H24" s="84">
        <f>1*G24</f>
        <v>0.15</v>
      </c>
      <c r="I24" s="84">
        <f>G24*5</f>
        <v>0.75</v>
      </c>
      <c r="J24" s="84">
        <f>0</f>
        <v>0</v>
      </c>
      <c r="K24" s="84">
        <f>H24*4+I24*4+J24*9</f>
        <v>3.6</v>
      </c>
    </row>
    <row r="25" spans="1:11">
      <c r="A25" s="515"/>
      <c r="B25" s="510"/>
      <c r="C25" s="105" t="s">
        <v>22</v>
      </c>
      <c r="D25" s="104">
        <v>0.5</v>
      </c>
      <c r="E25" s="7">
        <f t="shared" si="2"/>
        <v>0</v>
      </c>
      <c r="F25" s="117" t="s">
        <v>81</v>
      </c>
      <c r="G25" s="84">
        <f>D25/100</f>
        <v>5.0000000000000001E-3</v>
      </c>
      <c r="H25" s="84">
        <f>1*G25</f>
        <v>5.0000000000000001E-3</v>
      </c>
      <c r="I25" s="84">
        <f>G25*5</f>
        <v>2.5000000000000001E-2</v>
      </c>
      <c r="J25" s="84">
        <f>0</f>
        <v>0</v>
      </c>
      <c r="K25" s="84">
        <f>H25*4+I25*4+J25*9</f>
        <v>0.12000000000000001</v>
      </c>
    </row>
    <row r="26" spans="1:11">
      <c r="A26" s="516"/>
      <c r="B26" s="509"/>
      <c r="C26" s="216" t="s">
        <v>551</v>
      </c>
      <c r="D26" s="46">
        <v>20</v>
      </c>
      <c r="E26" s="7">
        <f t="shared" si="2"/>
        <v>0</v>
      </c>
      <c r="F26" s="117" t="s">
        <v>112</v>
      </c>
      <c r="G26" s="84">
        <f>D26/35</f>
        <v>0.5714285714285714</v>
      </c>
      <c r="H26" s="84">
        <f>G26*7</f>
        <v>4</v>
      </c>
      <c r="I26" s="84"/>
      <c r="J26" s="84">
        <f>G26*5</f>
        <v>2.8571428571428568</v>
      </c>
      <c r="K26" s="84">
        <f t="shared" ref="K26:K31" si="3">H26*4+I26*4+J26*9</f>
        <v>41.714285714285708</v>
      </c>
    </row>
    <row r="27" spans="1:11">
      <c r="A27" s="517" t="s">
        <v>2</v>
      </c>
      <c r="B27" s="46" t="s">
        <v>553</v>
      </c>
      <c r="C27" s="216" t="s">
        <v>554</v>
      </c>
      <c r="D27" s="46" t="s">
        <v>555</v>
      </c>
      <c r="E27" s="7"/>
      <c r="F27" s="46"/>
      <c r="G27" s="217"/>
      <c r="H27" s="84">
        <v>3</v>
      </c>
      <c r="I27" s="84">
        <v>20</v>
      </c>
      <c r="J27" s="84">
        <v>5</v>
      </c>
      <c r="K27" s="84">
        <f t="shared" si="3"/>
        <v>137</v>
      </c>
    </row>
    <row r="28" spans="1:11">
      <c r="A28" s="518"/>
      <c r="B28" s="508" t="s">
        <v>550</v>
      </c>
      <c r="C28" s="255" t="s">
        <v>129</v>
      </c>
      <c r="D28" s="256">
        <v>120</v>
      </c>
      <c r="E28" s="7">
        <f t="shared" si="2"/>
        <v>0</v>
      </c>
      <c r="F28" s="84" t="s">
        <v>75</v>
      </c>
      <c r="G28" s="84">
        <f>D28/240</f>
        <v>0.5</v>
      </c>
      <c r="H28" s="84">
        <f>G28*8</f>
        <v>4</v>
      </c>
      <c r="I28" s="84">
        <f>G28*12</f>
        <v>6</v>
      </c>
      <c r="J28" s="84">
        <f>G28*4</f>
        <v>2</v>
      </c>
      <c r="K28" s="84">
        <f t="shared" si="3"/>
        <v>58</v>
      </c>
    </row>
    <row r="29" spans="1:11">
      <c r="A29" s="518"/>
      <c r="B29" s="510"/>
      <c r="C29" s="255" t="s">
        <v>556</v>
      </c>
      <c r="D29" s="256">
        <v>15</v>
      </c>
      <c r="E29" s="7">
        <f t="shared" si="2"/>
        <v>0</v>
      </c>
      <c r="F29" s="84" t="s">
        <v>88</v>
      </c>
      <c r="G29" s="84">
        <f>D29/55</f>
        <v>0.27272727272727271</v>
      </c>
      <c r="H29" s="84">
        <f>G29*2</f>
        <v>0.54545454545454541</v>
      </c>
      <c r="I29" s="84">
        <f>G29*15</f>
        <v>4.0909090909090908</v>
      </c>
      <c r="J29" s="84"/>
      <c r="K29" s="84">
        <f t="shared" si="3"/>
        <v>18.545454545454547</v>
      </c>
    </row>
    <row r="30" spans="1:11" s="182" customFormat="1">
      <c r="A30" s="518"/>
      <c r="B30" s="509"/>
      <c r="C30" s="297" t="s">
        <v>504</v>
      </c>
      <c r="D30" s="256">
        <v>3</v>
      </c>
      <c r="E30" s="7">
        <f t="shared" si="2"/>
        <v>0</v>
      </c>
      <c r="F30" s="256"/>
      <c r="G30" s="217"/>
      <c r="H30" s="298"/>
      <c r="I30" s="84">
        <f>D30</f>
        <v>3</v>
      </c>
      <c r="K30" s="84">
        <f t="shared" si="3"/>
        <v>12</v>
      </c>
    </row>
    <row r="31" spans="1:11" s="342" customFormat="1">
      <c r="A31" s="519"/>
      <c r="B31" s="2" t="s">
        <v>655</v>
      </c>
      <c r="C31" s="14" t="s">
        <v>637</v>
      </c>
      <c r="D31" s="347"/>
      <c r="E31" s="7"/>
      <c r="F31" s="346" t="s">
        <v>8</v>
      </c>
      <c r="G31" s="294">
        <v>1</v>
      </c>
      <c r="H31" s="294">
        <f>G31*0</f>
        <v>0</v>
      </c>
      <c r="I31" s="294">
        <f>G31*15</f>
        <v>15</v>
      </c>
      <c r="J31" s="294">
        <f>G31*0</f>
        <v>0</v>
      </c>
      <c r="K31" s="294">
        <f t="shared" si="3"/>
        <v>60</v>
      </c>
    </row>
    <row r="32" spans="1:11" ht="21">
      <c r="A32" s="487" t="s">
        <v>499</v>
      </c>
      <c r="B32" s="487"/>
      <c r="C32" s="234"/>
      <c r="D32" s="235"/>
      <c r="E32" s="235"/>
      <c r="F32" s="236"/>
      <c r="G32" s="236"/>
      <c r="H32" s="237">
        <f>SUM(H3:H30)</f>
        <v>27.517121212121218</v>
      </c>
      <c r="I32" s="237">
        <f>SUM(I3:I31)</f>
        <v>104.3659090909091</v>
      </c>
      <c r="J32" s="237">
        <f>SUM(J3:J30)</f>
        <v>22.157142857142855</v>
      </c>
      <c r="K32" s="292">
        <f>H32*4+I32*4+J32*9</f>
        <v>726.94640692640701</v>
      </c>
    </row>
    <row r="33" spans="1:11" ht="19.5">
      <c r="A33" s="461" t="s">
        <v>537</v>
      </c>
      <c r="B33" s="462"/>
      <c r="C33" s="261"/>
      <c r="D33" s="261"/>
      <c r="E33" s="261"/>
      <c r="F33" s="262"/>
      <c r="G33" s="262"/>
      <c r="H33" s="257">
        <f>+H32*4/K32</f>
        <v>0.15141210383563769</v>
      </c>
      <c r="I33" s="257">
        <f>+I32*4/K32</f>
        <v>0.57427016955583998</v>
      </c>
      <c r="J33" s="257">
        <f>+J32*9/K32</f>
        <v>0.27431772660852227</v>
      </c>
      <c r="K33" s="257">
        <f>+H33+I33+J33</f>
        <v>0.99999999999999989</v>
      </c>
    </row>
  </sheetData>
  <mergeCells count="14">
    <mergeCell ref="A32:B32"/>
    <mergeCell ref="A33:B33"/>
    <mergeCell ref="B8:B15"/>
    <mergeCell ref="B16:B20"/>
    <mergeCell ref="B21:B23"/>
    <mergeCell ref="B24:B26"/>
    <mergeCell ref="B28:B30"/>
    <mergeCell ref="A27:A31"/>
    <mergeCell ref="A3:A7"/>
    <mergeCell ref="B6:B7"/>
    <mergeCell ref="A1:B1"/>
    <mergeCell ref="F1:K1"/>
    <mergeCell ref="A8:A26"/>
    <mergeCell ref="B3:B5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3" zoomScale="70" zoomScaleNormal="70" workbookViewId="0">
      <selection activeCell="C8" sqref="C8"/>
    </sheetView>
  </sheetViews>
  <sheetFormatPr defaultRowHeight="16.5"/>
  <cols>
    <col min="1" max="1" width="5.5" customWidth="1"/>
    <col min="2" max="2" width="13.375" style="103" customWidth="1"/>
    <col min="3" max="3" width="14.125" style="115" customWidth="1"/>
    <col min="4" max="4" width="6.375" style="113" customWidth="1"/>
    <col min="5" max="5" width="8.875" customWidth="1"/>
    <col min="6" max="6" width="5.5" style="116" customWidth="1"/>
    <col min="7" max="7" width="6.625" style="80" customWidth="1"/>
    <col min="8" max="8" width="10" style="80" customWidth="1"/>
    <col min="9" max="9" width="9.125" style="80" bestFit="1" customWidth="1"/>
    <col min="10" max="10" width="7.5" style="80" customWidth="1"/>
    <col min="11" max="11" width="8.375" style="80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 s="103" customFormat="1" ht="17.25" thickBot="1">
      <c r="A2" s="23" t="s">
        <v>327</v>
      </c>
      <c r="B2" s="28" t="s">
        <v>17</v>
      </c>
      <c r="C2" s="11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 s="103" customFormat="1" ht="17.25" thickTop="1">
      <c r="A3" s="514" t="s">
        <v>0</v>
      </c>
      <c r="B3" s="520" t="s">
        <v>560</v>
      </c>
      <c r="C3" s="300" t="s">
        <v>561</v>
      </c>
      <c r="D3" s="301">
        <v>45</v>
      </c>
      <c r="E3" s="7">
        <f t="shared" ref="E3:E31" si="0">D3*D$1/1000</f>
        <v>0</v>
      </c>
      <c r="F3" s="186" t="s">
        <v>88</v>
      </c>
      <c r="G3" s="221">
        <v>1</v>
      </c>
      <c r="H3" s="221">
        <f>G3*2</f>
        <v>2</v>
      </c>
      <c r="I3" s="221">
        <f>G3*15</f>
        <v>15</v>
      </c>
      <c r="J3" s="221">
        <v>2</v>
      </c>
      <c r="K3" s="221">
        <f t="shared" ref="K3:K6" si="1">H3*4+I3*4+J3*9</f>
        <v>86</v>
      </c>
    </row>
    <row r="4" spans="1:11" s="103" customFormat="1">
      <c r="A4" s="515"/>
      <c r="B4" s="521"/>
      <c r="C4" s="216" t="s">
        <v>184</v>
      </c>
      <c r="D4" s="46">
        <v>15</v>
      </c>
      <c r="E4" s="7">
        <f t="shared" si="0"/>
        <v>0</v>
      </c>
      <c r="F4" s="186" t="s">
        <v>112</v>
      </c>
      <c r="G4" s="221">
        <f>D4/55</f>
        <v>0.27272727272727271</v>
      </c>
      <c r="H4" s="221">
        <f>G4*7</f>
        <v>1.9090909090909089</v>
      </c>
      <c r="I4" s="309"/>
      <c r="J4" s="221">
        <f>G4*5</f>
        <v>1.3636363636363635</v>
      </c>
      <c r="K4" s="221">
        <f t="shared" si="1"/>
        <v>19.909090909090907</v>
      </c>
    </row>
    <row r="5" spans="1:11" s="103" customFormat="1">
      <c r="A5" s="515"/>
      <c r="B5" s="522"/>
      <c r="C5" s="216" t="s">
        <v>61</v>
      </c>
      <c r="D5" s="46">
        <v>3</v>
      </c>
      <c r="E5" s="7">
        <f t="shared" si="0"/>
        <v>0</v>
      </c>
      <c r="F5" s="186" t="s">
        <v>110</v>
      </c>
      <c r="G5" s="221">
        <f>D5/5</f>
        <v>0.6</v>
      </c>
      <c r="H5" s="221"/>
      <c r="I5" s="310"/>
      <c r="J5" s="221">
        <f>G5*5</f>
        <v>3</v>
      </c>
      <c r="K5" s="221">
        <f t="shared" si="1"/>
        <v>27</v>
      </c>
    </row>
    <row r="6" spans="1:11" s="103" customFormat="1">
      <c r="A6" s="515"/>
      <c r="B6" s="440" t="s">
        <v>824</v>
      </c>
      <c r="C6" s="255" t="s">
        <v>129</v>
      </c>
      <c r="D6" s="256">
        <v>120</v>
      </c>
      <c r="E6" s="7">
        <f t="shared" si="0"/>
        <v>0</v>
      </c>
      <c r="F6" s="84" t="s">
        <v>75</v>
      </c>
      <c r="G6" s="221">
        <f>D6/240</f>
        <v>0.5</v>
      </c>
      <c r="H6" s="221">
        <f>G6*8</f>
        <v>4</v>
      </c>
      <c r="I6" s="221">
        <f>G6*12</f>
        <v>6</v>
      </c>
      <c r="J6" s="221">
        <f>G6*4</f>
        <v>2</v>
      </c>
      <c r="K6" s="221">
        <f t="shared" si="1"/>
        <v>58</v>
      </c>
    </row>
    <row r="7" spans="1:11" s="103" customFormat="1">
      <c r="A7" s="515"/>
      <c r="B7" s="434"/>
      <c r="C7" s="255" t="s">
        <v>825</v>
      </c>
      <c r="D7" s="348">
        <v>10</v>
      </c>
      <c r="E7" s="7">
        <f t="shared" si="0"/>
        <v>0</v>
      </c>
      <c r="F7" s="346" t="s">
        <v>88</v>
      </c>
      <c r="G7" s="221">
        <f>D7/20</f>
        <v>0.5</v>
      </c>
      <c r="H7" s="221">
        <f>G7*2</f>
        <v>1</v>
      </c>
      <c r="I7" s="221">
        <f>G7*15</f>
        <v>7.5</v>
      </c>
      <c r="J7" s="221">
        <v>2</v>
      </c>
      <c r="K7" s="221">
        <f t="shared" ref="K7" si="2">H7*4+I7*4+J7*9</f>
        <v>52</v>
      </c>
    </row>
    <row r="8" spans="1:11" s="103" customFormat="1">
      <c r="A8" s="516"/>
      <c r="B8" s="435"/>
      <c r="C8" s="297" t="s">
        <v>504</v>
      </c>
      <c r="D8" s="348">
        <v>3</v>
      </c>
      <c r="E8" s="7">
        <f t="shared" ref="E8" si="3">D8*D$1/1000</f>
        <v>0</v>
      </c>
      <c r="F8" s="348"/>
      <c r="G8" s="217"/>
      <c r="H8" s="298"/>
      <c r="I8" s="84">
        <f>D8</f>
        <v>3</v>
      </c>
      <c r="J8" s="342"/>
      <c r="K8" s="84">
        <f t="shared" ref="K8" si="4">H8*4+I8*4+J8*9</f>
        <v>12</v>
      </c>
    </row>
    <row r="9" spans="1:11" s="103" customFormat="1" ht="19.5" customHeight="1">
      <c r="A9" s="517" t="s">
        <v>1</v>
      </c>
      <c r="B9" s="440" t="s">
        <v>146</v>
      </c>
      <c r="C9" s="13" t="s">
        <v>239</v>
      </c>
      <c r="D9" s="10">
        <v>5</v>
      </c>
      <c r="E9" s="7">
        <f t="shared" si="0"/>
        <v>0</v>
      </c>
      <c r="F9" s="186" t="s">
        <v>88</v>
      </c>
      <c r="G9" s="479">
        <v>2</v>
      </c>
      <c r="H9" s="479">
        <f>G9*2</f>
        <v>4</v>
      </c>
      <c r="I9" s="479">
        <f>G9*15</f>
        <v>30</v>
      </c>
      <c r="J9" s="479">
        <v>0</v>
      </c>
      <c r="K9" s="479">
        <f>H9*4+I9*4+J9*9</f>
        <v>136</v>
      </c>
    </row>
    <row r="10" spans="1:11" s="103" customFormat="1" ht="19.5" customHeight="1">
      <c r="A10" s="518"/>
      <c r="B10" s="435"/>
      <c r="C10" s="14" t="s">
        <v>28</v>
      </c>
      <c r="D10" s="10">
        <v>35</v>
      </c>
      <c r="E10" s="7">
        <f t="shared" si="0"/>
        <v>0</v>
      </c>
      <c r="F10" s="186" t="s">
        <v>88</v>
      </c>
      <c r="G10" s="480"/>
      <c r="H10" s="480"/>
      <c r="I10" s="480"/>
      <c r="J10" s="480"/>
      <c r="K10" s="480"/>
    </row>
    <row r="11" spans="1:11" s="103" customFormat="1" ht="19.5" customHeight="1">
      <c r="A11" s="518"/>
      <c r="B11" s="440" t="s">
        <v>108</v>
      </c>
      <c r="C11" s="13" t="s">
        <v>184</v>
      </c>
      <c r="D11" s="9">
        <v>5</v>
      </c>
      <c r="E11" s="7">
        <f t="shared" si="0"/>
        <v>0</v>
      </c>
      <c r="F11" s="76" t="s">
        <v>112</v>
      </c>
      <c r="G11" s="225">
        <v>0.1</v>
      </c>
      <c r="H11" s="221">
        <f>G11*7</f>
        <v>0.70000000000000007</v>
      </c>
      <c r="I11" s="221">
        <f>G11*0</f>
        <v>0</v>
      </c>
      <c r="J11" s="221">
        <f>G11*5</f>
        <v>0.5</v>
      </c>
      <c r="K11" s="221">
        <f t="shared" ref="K11:K14" si="5">H11*4+I11*4+J11*9</f>
        <v>7.3000000000000007</v>
      </c>
    </row>
    <row r="12" spans="1:11" s="103" customFormat="1" ht="19.5" customHeight="1">
      <c r="A12" s="518"/>
      <c r="B12" s="434"/>
      <c r="C12" s="13" t="s">
        <v>80</v>
      </c>
      <c r="D12" s="10">
        <v>30</v>
      </c>
      <c r="E12" s="7">
        <f t="shared" si="0"/>
        <v>0</v>
      </c>
      <c r="F12" s="76" t="s">
        <v>112</v>
      </c>
      <c r="G12" s="225">
        <f>D12/35</f>
        <v>0.8571428571428571</v>
      </c>
      <c r="H12" s="221">
        <f>G12*7</f>
        <v>6</v>
      </c>
      <c r="I12" s="221">
        <f>G12*0</f>
        <v>0</v>
      </c>
      <c r="J12" s="221">
        <f>G12*5</f>
        <v>4.2857142857142856</v>
      </c>
      <c r="K12" s="221">
        <f t="shared" si="5"/>
        <v>62.571428571428569</v>
      </c>
    </row>
    <row r="13" spans="1:11" s="103" customFormat="1" ht="19.5" customHeight="1">
      <c r="A13" s="518"/>
      <c r="B13" s="434"/>
      <c r="C13" s="14" t="s">
        <v>109</v>
      </c>
      <c r="D13" s="190">
        <v>5</v>
      </c>
      <c r="E13" s="7">
        <f t="shared" si="0"/>
        <v>0</v>
      </c>
      <c r="F13" s="78" t="s">
        <v>81</v>
      </c>
      <c r="G13" s="221">
        <v>0.05</v>
      </c>
      <c r="H13" s="221">
        <f>1*G13</f>
        <v>0.05</v>
      </c>
      <c r="I13" s="221">
        <f>G13*5</f>
        <v>0.25</v>
      </c>
      <c r="J13" s="221">
        <f>0</f>
        <v>0</v>
      </c>
      <c r="K13" s="221">
        <f t="shared" si="5"/>
        <v>1.2</v>
      </c>
    </row>
    <row r="14" spans="1:11" s="103" customFormat="1" ht="19.5" customHeight="1">
      <c r="A14" s="518"/>
      <c r="B14" s="434"/>
      <c r="C14" s="14" t="s">
        <v>33</v>
      </c>
      <c r="D14" s="190">
        <v>0.5</v>
      </c>
      <c r="E14" s="7">
        <f t="shared" si="0"/>
        <v>0</v>
      </c>
      <c r="F14" s="77" t="s">
        <v>24</v>
      </c>
      <c r="G14" s="251"/>
      <c r="H14" s="221"/>
      <c r="I14" s="221"/>
      <c r="J14" s="221"/>
      <c r="K14" s="221">
        <f t="shared" si="5"/>
        <v>0</v>
      </c>
    </row>
    <row r="15" spans="1:11" s="103" customFormat="1" ht="19.5" customHeight="1">
      <c r="A15" s="518"/>
      <c r="B15" s="434"/>
      <c r="C15" s="14" t="s">
        <v>35</v>
      </c>
      <c r="D15" s="190">
        <v>2</v>
      </c>
      <c r="E15" s="7">
        <f t="shared" si="0"/>
        <v>0</v>
      </c>
      <c r="F15" s="78" t="s">
        <v>81</v>
      </c>
      <c r="G15" s="221">
        <v>0.02</v>
      </c>
      <c r="H15" s="221">
        <f>1*G15</f>
        <v>0.02</v>
      </c>
      <c r="I15" s="221">
        <f>G15*5</f>
        <v>0.1</v>
      </c>
      <c r="J15" s="221">
        <f>0</f>
        <v>0</v>
      </c>
      <c r="K15" s="221">
        <f>H15*4+I15*4+J15*9</f>
        <v>0.48000000000000004</v>
      </c>
    </row>
    <row r="16" spans="1:11" s="103" customFormat="1" ht="19.5" customHeight="1">
      <c r="A16" s="518"/>
      <c r="B16" s="434"/>
      <c r="C16" s="14" t="s">
        <v>111</v>
      </c>
      <c r="D16" s="190">
        <v>0.5</v>
      </c>
      <c r="E16" s="7">
        <f t="shared" si="0"/>
        <v>0</v>
      </c>
      <c r="F16" s="77" t="s">
        <v>24</v>
      </c>
      <c r="G16" s="251"/>
      <c r="H16" s="221"/>
      <c r="I16" s="221"/>
      <c r="J16" s="221"/>
      <c r="K16" s="221">
        <f>H16*4+I16*4+J16*9</f>
        <v>0</v>
      </c>
    </row>
    <row r="17" spans="1:11" s="103" customFormat="1" ht="19.5" customHeight="1">
      <c r="A17" s="518"/>
      <c r="B17" s="434"/>
      <c r="C17" s="14" t="s">
        <v>32</v>
      </c>
      <c r="D17" s="190">
        <v>1</v>
      </c>
      <c r="E17" s="7">
        <f t="shared" si="0"/>
        <v>0</v>
      </c>
      <c r="F17" s="77" t="s">
        <v>24</v>
      </c>
      <c r="G17" s="251"/>
      <c r="H17" s="221"/>
      <c r="I17" s="221"/>
      <c r="J17" s="221"/>
      <c r="K17" s="221">
        <f>H17*4+I17*4+J17*9</f>
        <v>0</v>
      </c>
    </row>
    <row r="18" spans="1:11" s="103" customFormat="1" ht="19.5" customHeight="1">
      <c r="A18" s="518"/>
      <c r="B18" s="434"/>
      <c r="C18" s="14" t="s">
        <v>52</v>
      </c>
      <c r="D18" s="190">
        <v>0.3</v>
      </c>
      <c r="E18" s="7">
        <f t="shared" si="0"/>
        <v>0</v>
      </c>
      <c r="F18" s="77" t="s">
        <v>24</v>
      </c>
      <c r="G18" s="251"/>
      <c r="H18" s="221"/>
      <c r="I18" s="221"/>
      <c r="J18" s="221"/>
      <c r="K18" s="221">
        <f>H18*4+I18*4+J18*9</f>
        <v>0</v>
      </c>
    </row>
    <row r="19" spans="1:11" s="103" customFormat="1" ht="19.5" customHeight="1">
      <c r="A19" s="518"/>
      <c r="B19" s="452" t="s">
        <v>564</v>
      </c>
      <c r="C19" s="320" t="s">
        <v>565</v>
      </c>
      <c r="D19" s="9">
        <v>30</v>
      </c>
      <c r="E19" s="7">
        <f>D19*D6/1000</f>
        <v>3.6</v>
      </c>
      <c r="F19" s="78" t="s">
        <v>81</v>
      </c>
      <c r="G19" s="221">
        <f>D19/100</f>
        <v>0.3</v>
      </c>
      <c r="H19" s="221">
        <f>1*G19</f>
        <v>0.3</v>
      </c>
      <c r="I19" s="221">
        <f>G19*5</f>
        <v>1.5</v>
      </c>
      <c r="J19" s="221">
        <f>0</f>
        <v>0</v>
      </c>
      <c r="K19" s="221">
        <f>H19*4+I19*4+J19*9</f>
        <v>7.2</v>
      </c>
    </row>
    <row r="20" spans="1:11" s="103" customFormat="1" ht="19.5" customHeight="1">
      <c r="A20" s="518"/>
      <c r="B20" s="456"/>
      <c r="C20" s="158" t="s">
        <v>424</v>
      </c>
      <c r="D20" s="31">
        <v>5</v>
      </c>
      <c r="E20" s="8">
        <f>D20*D6/1000</f>
        <v>0.6</v>
      </c>
      <c r="F20" s="76" t="s">
        <v>81</v>
      </c>
      <c r="G20" s="282"/>
      <c r="H20" s="282"/>
      <c r="I20" s="282"/>
      <c r="J20" s="282"/>
      <c r="K20" s="282">
        <f t="shared" ref="K20:K22" si="6">H20*4+I20*4+J20*9</f>
        <v>0</v>
      </c>
    </row>
    <row r="21" spans="1:11" s="103" customFormat="1" ht="19.5" customHeight="1">
      <c r="A21" s="518"/>
      <c r="B21" s="456"/>
      <c r="C21" s="261" t="s">
        <v>48</v>
      </c>
      <c r="D21" s="31">
        <v>20</v>
      </c>
      <c r="E21" s="7">
        <f>D21*D6/1000</f>
        <v>2.4</v>
      </c>
      <c r="F21" s="78" t="s">
        <v>112</v>
      </c>
      <c r="G21" s="282">
        <f>D21/50</f>
        <v>0.4</v>
      </c>
      <c r="H21" s="282">
        <f>G21*7</f>
        <v>2.8000000000000003</v>
      </c>
      <c r="I21" s="282"/>
      <c r="J21" s="282">
        <f>G21*5</f>
        <v>2</v>
      </c>
      <c r="K21" s="282">
        <f t="shared" si="6"/>
        <v>29.200000000000003</v>
      </c>
    </row>
    <row r="22" spans="1:11" s="103" customFormat="1" ht="19.5" customHeight="1">
      <c r="A22" s="518"/>
      <c r="B22" s="456"/>
      <c r="C22" s="22" t="s">
        <v>61</v>
      </c>
      <c r="D22" s="191">
        <v>3</v>
      </c>
      <c r="E22" s="7">
        <f>D22*D6/1000</f>
        <v>0.36</v>
      </c>
      <c r="F22" s="186" t="s">
        <v>110</v>
      </c>
      <c r="G22" s="282">
        <f>D22/5</f>
        <v>0.6</v>
      </c>
      <c r="H22" s="282">
        <f>0</f>
        <v>0</v>
      </c>
      <c r="I22" s="282">
        <f>G22*0</f>
        <v>0</v>
      </c>
      <c r="J22" s="282">
        <f>G22*5</f>
        <v>3</v>
      </c>
      <c r="K22" s="282">
        <f t="shared" si="6"/>
        <v>27</v>
      </c>
    </row>
    <row r="23" spans="1:11" s="103" customFormat="1" ht="19.5" customHeight="1">
      <c r="A23" s="518"/>
      <c r="B23" s="440" t="s">
        <v>700</v>
      </c>
      <c r="C23" s="14" t="s">
        <v>114</v>
      </c>
      <c r="D23" s="190">
        <v>50</v>
      </c>
      <c r="E23" s="7">
        <f t="shared" si="0"/>
        <v>0</v>
      </c>
      <c r="F23" s="186" t="s">
        <v>81</v>
      </c>
      <c r="G23" s="221">
        <f>D23/100</f>
        <v>0.5</v>
      </c>
      <c r="H23" s="221">
        <f>1*G23</f>
        <v>0.5</v>
      </c>
      <c r="I23" s="221">
        <f>G23*5</f>
        <v>2.5</v>
      </c>
      <c r="J23" s="221">
        <f>0</f>
        <v>0</v>
      </c>
      <c r="K23" s="221">
        <f t="shared" ref="K23:K31" si="7">H23*4+I23*4+J23*9</f>
        <v>12</v>
      </c>
    </row>
    <row r="24" spans="1:11" s="103" customFormat="1" ht="19.5" customHeight="1">
      <c r="A24" s="518"/>
      <c r="B24" s="434"/>
      <c r="C24" s="14" t="s">
        <v>34</v>
      </c>
      <c r="D24" s="190">
        <v>0.5</v>
      </c>
      <c r="E24" s="7">
        <f t="shared" si="0"/>
        <v>0</v>
      </c>
      <c r="F24" s="77" t="s">
        <v>24</v>
      </c>
      <c r="G24" s="251"/>
      <c r="H24" s="221"/>
      <c r="I24" s="221"/>
      <c r="J24" s="221"/>
      <c r="K24" s="221">
        <f t="shared" si="7"/>
        <v>0</v>
      </c>
    </row>
    <row r="25" spans="1:11" s="103" customFormat="1" ht="19.5" customHeight="1">
      <c r="A25" s="518"/>
      <c r="B25" s="435"/>
      <c r="C25" s="22" t="s">
        <v>61</v>
      </c>
      <c r="D25" s="9">
        <v>3</v>
      </c>
      <c r="E25" s="7">
        <f t="shared" si="0"/>
        <v>0</v>
      </c>
      <c r="F25" s="186" t="s">
        <v>110</v>
      </c>
      <c r="G25" s="221">
        <f>D25/5</f>
        <v>0.6</v>
      </c>
      <c r="H25" s="221">
        <f>0</f>
        <v>0</v>
      </c>
      <c r="I25" s="221">
        <f>G25*0</f>
        <v>0</v>
      </c>
      <c r="J25" s="221">
        <f>G25*5</f>
        <v>3</v>
      </c>
      <c r="K25" s="221">
        <f t="shared" si="7"/>
        <v>27</v>
      </c>
    </row>
    <row r="26" spans="1:11" s="103" customFormat="1" ht="19.5" customHeight="1">
      <c r="A26" s="518"/>
      <c r="B26" s="440" t="s">
        <v>115</v>
      </c>
      <c r="C26" s="14" t="s">
        <v>116</v>
      </c>
      <c r="D26" s="190">
        <v>3</v>
      </c>
      <c r="E26" s="7">
        <f t="shared" si="0"/>
        <v>0</v>
      </c>
      <c r="F26" s="77" t="s">
        <v>24</v>
      </c>
      <c r="G26" s="251"/>
      <c r="H26" s="221"/>
      <c r="I26" s="221"/>
      <c r="J26" s="221"/>
      <c r="K26" s="221">
        <f t="shared" si="7"/>
        <v>0</v>
      </c>
    </row>
    <row r="27" spans="1:11" s="103" customFormat="1" ht="19.5" customHeight="1">
      <c r="A27" s="518"/>
      <c r="B27" s="434"/>
      <c r="C27" s="14" t="s">
        <v>36</v>
      </c>
      <c r="D27" s="190">
        <v>3</v>
      </c>
      <c r="E27" s="7">
        <f t="shared" si="0"/>
        <v>0</v>
      </c>
      <c r="F27" s="77" t="s">
        <v>24</v>
      </c>
      <c r="G27" s="251"/>
      <c r="H27" s="221"/>
      <c r="I27" s="221"/>
      <c r="J27" s="221"/>
      <c r="K27" s="221">
        <f t="shared" si="7"/>
        <v>0</v>
      </c>
    </row>
    <row r="28" spans="1:11" s="103" customFormat="1" ht="19.5" customHeight="1">
      <c r="A28" s="518"/>
      <c r="B28" s="434"/>
      <c r="C28" s="14" t="s">
        <v>117</v>
      </c>
      <c r="D28" s="190">
        <v>5</v>
      </c>
      <c r="E28" s="7">
        <f t="shared" si="0"/>
        <v>0</v>
      </c>
      <c r="F28" s="77" t="s">
        <v>24</v>
      </c>
      <c r="G28" s="251"/>
      <c r="H28" s="221"/>
      <c r="I28" s="221"/>
      <c r="J28" s="221"/>
      <c r="K28" s="221">
        <f t="shared" si="7"/>
        <v>0</v>
      </c>
    </row>
    <row r="29" spans="1:11" s="103" customFormat="1" ht="19.5" customHeight="1">
      <c r="A29" s="518"/>
      <c r="B29" s="434"/>
      <c r="C29" s="14" t="s">
        <v>118</v>
      </c>
      <c r="D29" s="190">
        <v>8</v>
      </c>
      <c r="E29" s="7">
        <f t="shared" si="0"/>
        <v>0</v>
      </c>
      <c r="F29" s="186" t="s">
        <v>112</v>
      </c>
      <c r="G29" s="221">
        <v>0.2</v>
      </c>
      <c r="H29" s="221">
        <f>1*G29</f>
        <v>0.2</v>
      </c>
      <c r="I29" s="221">
        <f>G29*0.5</f>
        <v>0.1</v>
      </c>
      <c r="J29" s="221">
        <f>0</f>
        <v>0</v>
      </c>
      <c r="K29" s="221">
        <f t="shared" si="7"/>
        <v>1.2000000000000002</v>
      </c>
    </row>
    <row r="30" spans="1:11" s="103" customFormat="1" ht="19.5" customHeight="1">
      <c r="A30" s="518"/>
      <c r="B30" s="434"/>
      <c r="C30" s="14" t="s">
        <v>59</v>
      </c>
      <c r="D30" s="190">
        <v>0.3</v>
      </c>
      <c r="E30" s="7">
        <f t="shared" si="0"/>
        <v>0</v>
      </c>
      <c r="F30" s="77" t="s">
        <v>24</v>
      </c>
      <c r="G30" s="251"/>
      <c r="H30" s="221"/>
      <c r="I30" s="221"/>
      <c r="J30" s="221"/>
      <c r="K30" s="221">
        <f t="shared" si="7"/>
        <v>0</v>
      </c>
    </row>
    <row r="31" spans="1:11" s="103" customFormat="1" ht="19.5" customHeight="1">
      <c r="A31" s="518"/>
      <c r="B31" s="434"/>
      <c r="C31" s="14" t="s">
        <v>35</v>
      </c>
      <c r="D31" s="190">
        <v>2</v>
      </c>
      <c r="E31" s="7">
        <f t="shared" si="0"/>
        <v>0</v>
      </c>
      <c r="F31" s="77" t="s">
        <v>24</v>
      </c>
      <c r="G31" s="251"/>
      <c r="H31" s="221"/>
      <c r="I31" s="221"/>
      <c r="J31" s="221"/>
      <c r="K31" s="221">
        <f t="shared" si="7"/>
        <v>0</v>
      </c>
    </row>
    <row r="32" spans="1:11" s="103" customFormat="1" ht="18.75" customHeight="1">
      <c r="A32" s="532" t="s">
        <v>2</v>
      </c>
      <c r="B32" s="529" t="s">
        <v>559</v>
      </c>
      <c r="C32" s="523" t="s">
        <v>337</v>
      </c>
      <c r="D32" s="525" t="s">
        <v>338</v>
      </c>
      <c r="E32" s="527"/>
      <c r="F32" s="76" t="s">
        <v>112</v>
      </c>
      <c r="G32" s="225">
        <v>0.4</v>
      </c>
      <c r="H32" s="221">
        <f>G32*7</f>
        <v>2.8000000000000003</v>
      </c>
      <c r="I32" s="221">
        <f>G32*0</f>
        <v>0</v>
      </c>
      <c r="J32" s="221">
        <f>G32*3</f>
        <v>1.2000000000000002</v>
      </c>
      <c r="K32" s="221">
        <f>H32*4+I32*4+J32*9</f>
        <v>22</v>
      </c>
    </row>
    <row r="33" spans="1:11" s="103" customFormat="1" ht="18.75" customHeight="1">
      <c r="A33" s="533"/>
      <c r="B33" s="530"/>
      <c r="C33" s="524"/>
      <c r="D33" s="526"/>
      <c r="E33" s="528"/>
      <c r="F33" s="78" t="s">
        <v>88</v>
      </c>
      <c r="G33" s="251">
        <v>1</v>
      </c>
      <c r="H33" s="221">
        <f>G33*2</f>
        <v>2</v>
      </c>
      <c r="I33" s="221">
        <f>G33*15</f>
        <v>15</v>
      </c>
      <c r="J33" s="221">
        <v>0</v>
      </c>
      <c r="K33" s="221">
        <f t="shared" ref="K33" si="8">H33*4+I33*4+J33*9</f>
        <v>68</v>
      </c>
    </row>
    <row r="34" spans="1:11">
      <c r="A34" s="533"/>
      <c r="B34" s="458" t="s">
        <v>123</v>
      </c>
      <c r="C34" s="108" t="s">
        <v>351</v>
      </c>
      <c r="D34" s="118">
        <v>6</v>
      </c>
      <c r="E34" s="7">
        <f>D34*D1/1000</f>
        <v>0</v>
      </c>
      <c r="F34" s="119" t="s">
        <v>24</v>
      </c>
      <c r="G34" s="107"/>
      <c r="H34" s="107"/>
      <c r="I34" s="107"/>
      <c r="J34" s="107"/>
      <c r="K34" s="107"/>
    </row>
    <row r="35" spans="1:11">
      <c r="A35" s="533"/>
      <c r="B35" s="531"/>
      <c r="C35" s="108" t="s">
        <v>350</v>
      </c>
      <c r="D35" s="118">
        <v>0.5</v>
      </c>
      <c r="E35" s="8">
        <f>D35*D1/1000</f>
        <v>0</v>
      </c>
      <c r="F35" s="119" t="s">
        <v>24</v>
      </c>
      <c r="G35" s="107"/>
      <c r="H35" s="107"/>
      <c r="I35" s="107"/>
      <c r="J35" s="107"/>
      <c r="K35" s="107"/>
    </row>
    <row r="36" spans="1:11">
      <c r="A36" s="533"/>
      <c r="B36" s="513"/>
      <c r="C36" s="307" t="s">
        <v>562</v>
      </c>
      <c r="D36" s="308" t="s">
        <v>335</v>
      </c>
      <c r="E36" s="7"/>
      <c r="F36" s="186" t="s">
        <v>24</v>
      </c>
      <c r="G36" s="107"/>
      <c r="H36" s="107"/>
      <c r="I36" s="107"/>
      <c r="J36" s="107"/>
      <c r="K36" s="107"/>
    </row>
    <row r="37" spans="1:11" s="342" customFormat="1">
      <c r="A37" s="534"/>
      <c r="B37" s="345" t="s">
        <v>821</v>
      </c>
      <c r="C37" s="306" t="s">
        <v>822</v>
      </c>
      <c r="D37" s="304"/>
      <c r="E37" s="7">
        <f t="shared" ref="E37" si="9">D37*D$1/1000</f>
        <v>0</v>
      </c>
      <c r="F37" s="84" t="s">
        <v>498</v>
      </c>
      <c r="G37" s="221"/>
      <c r="H37" s="221"/>
      <c r="I37" s="221">
        <v>15</v>
      </c>
      <c r="J37" s="221"/>
      <c r="K37" s="221">
        <f t="shared" ref="K37" si="10">H37*4+I37*4+J37*9</f>
        <v>60</v>
      </c>
    </row>
    <row r="38" spans="1:11" ht="21">
      <c r="A38" s="487" t="s">
        <v>499</v>
      </c>
      <c r="B38" s="487"/>
      <c r="C38" s="234"/>
      <c r="D38" s="235"/>
      <c r="E38" s="235"/>
      <c r="F38" s="236"/>
      <c r="G38" s="236"/>
      <c r="H38" s="237">
        <f>SUM(H3:H36)</f>
        <v>28.279090909090911</v>
      </c>
      <c r="I38" s="237">
        <f>SUM(I3:I37)</f>
        <v>95.949999999999989</v>
      </c>
      <c r="J38" s="237">
        <f>SUM(J3:J36)</f>
        <v>24.349350649350647</v>
      </c>
      <c r="K38" s="299">
        <f t="shared" ref="K38" si="11">H38*4+I38*4+J38*9</f>
        <v>716.06051948051936</v>
      </c>
    </row>
    <row r="39" spans="1:11" ht="19.5">
      <c r="A39" s="461" t="s">
        <v>537</v>
      </c>
      <c r="B39" s="462"/>
      <c r="C39" s="261"/>
      <c r="D39" s="261"/>
      <c r="E39" s="261"/>
      <c r="F39" s="262"/>
      <c r="G39" s="262"/>
      <c r="H39" s="257">
        <f>+H38*4/K38</f>
        <v>0.15797039574032962</v>
      </c>
      <c r="I39" s="257">
        <f>+I38*4/K38</f>
        <v>0.53598821546317821</v>
      </c>
      <c r="J39" s="257">
        <f>+J38*9/K38</f>
        <v>0.30604138879649223</v>
      </c>
      <c r="K39" s="257">
        <f>+H39+I39+J39</f>
        <v>1</v>
      </c>
    </row>
  </sheetData>
  <mergeCells count="24">
    <mergeCell ref="G9:G10"/>
    <mergeCell ref="H9:H10"/>
    <mergeCell ref="I9:I10"/>
    <mergeCell ref="J9:J10"/>
    <mergeCell ref="K9:K10"/>
    <mergeCell ref="A38:B38"/>
    <mergeCell ref="A39:B39"/>
    <mergeCell ref="C32:C33"/>
    <mergeCell ref="D32:D33"/>
    <mergeCell ref="E32:E33"/>
    <mergeCell ref="B32:B33"/>
    <mergeCell ref="B34:B36"/>
    <mergeCell ref="A32:A37"/>
    <mergeCell ref="A1:B1"/>
    <mergeCell ref="F1:K1"/>
    <mergeCell ref="B3:B5"/>
    <mergeCell ref="B6:B8"/>
    <mergeCell ref="A3:A8"/>
    <mergeCell ref="A9:A31"/>
    <mergeCell ref="B9:B10"/>
    <mergeCell ref="B11:B18"/>
    <mergeCell ref="B23:B25"/>
    <mergeCell ref="B26:B31"/>
    <mergeCell ref="B19:B2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70" zoomScaleNormal="70" zoomScaleSheetLayoutView="70" workbookViewId="0">
      <selection activeCell="I34" sqref="I34"/>
    </sheetView>
  </sheetViews>
  <sheetFormatPr defaultRowHeight="16.5"/>
  <cols>
    <col min="1" max="1" width="5.5" style="123" customWidth="1"/>
    <col min="2" max="2" width="13.375" style="125" customWidth="1"/>
    <col min="3" max="3" width="14.125" style="126" customWidth="1"/>
    <col min="4" max="4" width="6.375" style="113" customWidth="1"/>
    <col min="5" max="5" width="8.875" style="113" customWidth="1"/>
    <col min="6" max="6" width="5.5" style="116" customWidth="1"/>
    <col min="7" max="7" width="6.625" style="116" customWidth="1"/>
    <col min="8" max="8" width="10" style="116" customWidth="1"/>
    <col min="9" max="9" width="9.125" style="116" bestFit="1" customWidth="1"/>
    <col min="10" max="10" width="7.5" style="116" customWidth="1"/>
    <col min="11" max="11" width="8.375" style="116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 s="111" customFormat="1">
      <c r="A2" s="23" t="s">
        <v>327</v>
      </c>
      <c r="B2" s="120" t="s">
        <v>17</v>
      </c>
      <c r="C2" s="28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537" t="s">
        <v>0</v>
      </c>
      <c r="B3" s="511" t="s">
        <v>352</v>
      </c>
      <c r="C3" s="122" t="s">
        <v>84</v>
      </c>
      <c r="D3" s="118">
        <v>10</v>
      </c>
      <c r="E3" s="7">
        <f>D3*D$1/1000</f>
        <v>0</v>
      </c>
      <c r="F3" s="76" t="s">
        <v>88</v>
      </c>
      <c r="G3" s="225">
        <f>D3/25</f>
        <v>0.4</v>
      </c>
      <c r="H3" s="221">
        <f>G3*2</f>
        <v>0.8</v>
      </c>
      <c r="I3" s="221">
        <f>G3*15</f>
        <v>6</v>
      </c>
      <c r="J3" s="221">
        <v>0</v>
      </c>
      <c r="K3" s="221">
        <f>H3*4+I3*4+J3*9</f>
        <v>27.2</v>
      </c>
    </row>
    <row r="4" spans="1:11">
      <c r="A4" s="538"/>
      <c r="B4" s="511"/>
      <c r="C4" s="122" t="s">
        <v>353</v>
      </c>
      <c r="D4" s="118">
        <v>10</v>
      </c>
      <c r="E4" s="7">
        <f t="shared" ref="E4:E24" si="0">D4*D$1/1000</f>
        <v>0</v>
      </c>
      <c r="F4" s="76" t="s">
        <v>88</v>
      </c>
      <c r="G4" s="225">
        <f>D4/20</f>
        <v>0.5</v>
      </c>
      <c r="H4" s="221">
        <f>G4*2</f>
        <v>1</v>
      </c>
      <c r="I4" s="221">
        <f>G4*15</f>
        <v>7.5</v>
      </c>
      <c r="J4" s="221">
        <v>0</v>
      </c>
      <c r="K4" s="221">
        <f>H4*4+I4*4+J4*9</f>
        <v>34</v>
      </c>
    </row>
    <row r="5" spans="1:11">
      <c r="A5" s="538"/>
      <c r="B5" s="511"/>
      <c r="C5" s="147" t="s">
        <v>568</v>
      </c>
      <c r="D5" s="104">
        <v>15</v>
      </c>
      <c r="E5" s="7">
        <f t="shared" si="0"/>
        <v>0</v>
      </c>
      <c r="F5" s="76" t="s">
        <v>75</v>
      </c>
      <c r="G5" s="221">
        <f>D5/30</f>
        <v>0.5</v>
      </c>
      <c r="H5" s="221">
        <f>G5*8</f>
        <v>4</v>
      </c>
      <c r="I5" s="221">
        <f>G5*12</f>
        <v>6</v>
      </c>
      <c r="J5" s="221">
        <f>G5*8</f>
        <v>4</v>
      </c>
      <c r="K5" s="221">
        <f>H5*4+I5*4+J5*9</f>
        <v>76</v>
      </c>
    </row>
    <row r="6" spans="1:11">
      <c r="A6" s="538"/>
      <c r="B6" s="512"/>
      <c r="C6" s="297" t="s">
        <v>504</v>
      </c>
      <c r="D6" s="124">
        <v>15</v>
      </c>
      <c r="E6" s="7">
        <f t="shared" si="0"/>
        <v>0</v>
      </c>
      <c r="F6" s="135" t="s">
        <v>24</v>
      </c>
      <c r="G6" s="321"/>
      <c r="H6" s="321"/>
      <c r="I6" s="321">
        <f>D6</f>
        <v>15</v>
      </c>
      <c r="J6" s="321"/>
      <c r="K6" s="321"/>
    </row>
    <row r="7" spans="1:11">
      <c r="A7" s="517" t="s">
        <v>1</v>
      </c>
      <c r="B7" s="535" t="s">
        <v>566</v>
      </c>
      <c r="C7" s="105" t="s">
        <v>28</v>
      </c>
      <c r="D7" s="104">
        <v>30</v>
      </c>
      <c r="E7" s="7">
        <f t="shared" si="0"/>
        <v>0</v>
      </c>
      <c r="F7" s="76" t="s">
        <v>88</v>
      </c>
      <c r="G7" s="225">
        <f>D7/20</f>
        <v>1.5</v>
      </c>
      <c r="H7" s="221">
        <f>G7*2</f>
        <v>3</v>
      </c>
      <c r="I7" s="221">
        <f>G7*15</f>
        <v>22.5</v>
      </c>
      <c r="J7" s="221">
        <v>0</v>
      </c>
      <c r="K7" s="221">
        <f t="shared" ref="K7:K27" si="1">H7*4+I7*4+J7*9</f>
        <v>102</v>
      </c>
    </row>
    <row r="8" spans="1:11">
      <c r="A8" s="518"/>
      <c r="B8" s="536"/>
      <c r="C8" s="147" t="s">
        <v>334</v>
      </c>
      <c r="D8" s="104">
        <v>10</v>
      </c>
      <c r="E8" s="7">
        <f t="shared" si="0"/>
        <v>0</v>
      </c>
      <c r="F8" s="76" t="s">
        <v>88</v>
      </c>
      <c r="G8" s="225">
        <f>D8/20</f>
        <v>0.5</v>
      </c>
      <c r="H8" s="221">
        <f>G8*2</f>
        <v>1</v>
      </c>
      <c r="I8" s="221">
        <f>G8*15</f>
        <v>7.5</v>
      </c>
      <c r="J8" s="221">
        <v>0</v>
      </c>
      <c r="K8" s="221">
        <f t="shared" si="1"/>
        <v>34</v>
      </c>
    </row>
    <row r="9" spans="1:11">
      <c r="A9" s="518"/>
      <c r="B9" s="458" t="s">
        <v>147</v>
      </c>
      <c r="C9" s="74" t="s">
        <v>385</v>
      </c>
      <c r="D9" s="2">
        <v>4</v>
      </c>
      <c r="E9" s="7">
        <f t="shared" si="0"/>
        <v>0</v>
      </c>
      <c r="F9" s="117" t="s">
        <v>112</v>
      </c>
      <c r="G9" s="252">
        <v>0.2</v>
      </c>
      <c r="H9" s="252">
        <f>G9*7</f>
        <v>1.4000000000000001</v>
      </c>
      <c r="I9" s="252"/>
      <c r="J9" s="252">
        <f>G9*5</f>
        <v>1</v>
      </c>
      <c r="K9" s="221">
        <f>H9*4+I9*4+J9*9</f>
        <v>14.600000000000001</v>
      </c>
    </row>
    <row r="10" spans="1:11">
      <c r="A10" s="518"/>
      <c r="B10" s="459"/>
      <c r="C10" s="74" t="s">
        <v>386</v>
      </c>
      <c r="D10" s="2">
        <v>40</v>
      </c>
      <c r="E10" s="7">
        <f t="shared" si="0"/>
        <v>0</v>
      </c>
      <c r="F10" s="117" t="s">
        <v>112</v>
      </c>
      <c r="G10" s="252">
        <f>D10/35</f>
        <v>1.1428571428571428</v>
      </c>
      <c r="H10" s="252">
        <f>G10*7</f>
        <v>8</v>
      </c>
      <c r="I10" s="252"/>
      <c r="J10" s="252">
        <f>G10*5</f>
        <v>5.7142857142857135</v>
      </c>
      <c r="K10" s="221">
        <f>H10*4+I10*4+J10*9</f>
        <v>83.428571428571416</v>
      </c>
    </row>
    <row r="11" spans="1:11">
      <c r="A11" s="518"/>
      <c r="B11" s="459"/>
      <c r="C11" s="74" t="s">
        <v>387</v>
      </c>
      <c r="D11" s="2">
        <v>5</v>
      </c>
      <c r="E11" s="7">
        <f t="shared" si="0"/>
        <v>0</v>
      </c>
      <c r="F11" s="119" t="s">
        <v>24</v>
      </c>
      <c r="G11" s="252"/>
      <c r="H11" s="221">
        <v>1.6</v>
      </c>
      <c r="I11" s="221">
        <v>1</v>
      </c>
      <c r="J11" s="221">
        <v>2.1</v>
      </c>
      <c r="K11" s="221">
        <f>H11*4+I11*4+J11*9</f>
        <v>29.300000000000004</v>
      </c>
    </row>
    <row r="12" spans="1:11">
      <c r="A12" s="518"/>
      <c r="B12" s="459"/>
      <c r="C12" s="138" t="s">
        <v>52</v>
      </c>
      <c r="D12" s="2">
        <v>0.5</v>
      </c>
      <c r="E12" s="7">
        <f t="shared" si="0"/>
        <v>0</v>
      </c>
      <c r="F12" s="119" t="s">
        <v>24</v>
      </c>
      <c r="G12" s="252"/>
      <c r="H12" s="278"/>
      <c r="I12" s="278"/>
      <c r="J12" s="278"/>
      <c r="K12" s="278"/>
    </row>
    <row r="13" spans="1:11">
      <c r="A13" s="518"/>
      <c r="B13" s="459"/>
      <c r="C13" s="138" t="s">
        <v>37</v>
      </c>
      <c r="D13" s="2">
        <v>0.3</v>
      </c>
      <c r="E13" s="7">
        <f t="shared" si="0"/>
        <v>0</v>
      </c>
      <c r="F13" s="119" t="s">
        <v>24</v>
      </c>
      <c r="G13" s="252"/>
      <c r="H13" s="278"/>
      <c r="I13" s="278"/>
      <c r="J13" s="278"/>
      <c r="K13" s="278"/>
    </row>
    <row r="14" spans="1:11" s="182" customFormat="1">
      <c r="A14" s="518"/>
      <c r="B14" s="460"/>
      <c r="C14" s="22" t="s">
        <v>61</v>
      </c>
      <c r="D14" s="9">
        <v>2</v>
      </c>
      <c r="E14" s="7">
        <f t="shared" si="0"/>
        <v>0</v>
      </c>
      <c r="F14" s="186" t="s">
        <v>110</v>
      </c>
      <c r="G14" s="221">
        <f>D14/5</f>
        <v>0.4</v>
      </c>
      <c r="H14" s="221">
        <f>0</f>
        <v>0</v>
      </c>
      <c r="I14" s="221">
        <f>G14*0</f>
        <v>0</v>
      </c>
      <c r="J14" s="221">
        <f>G14*5</f>
        <v>2</v>
      </c>
      <c r="K14" s="221">
        <f t="shared" ref="K14" si="2">H14*4+I14*4+J14*9</f>
        <v>18</v>
      </c>
    </row>
    <row r="15" spans="1:11">
      <c r="A15" s="518"/>
      <c r="B15" s="458" t="s">
        <v>569</v>
      </c>
      <c r="C15" s="138" t="s">
        <v>570</v>
      </c>
      <c r="D15" s="2">
        <v>25</v>
      </c>
      <c r="E15" s="7">
        <f t="shared" si="0"/>
        <v>0</v>
      </c>
      <c r="F15" s="117" t="s">
        <v>112</v>
      </c>
      <c r="G15" s="221">
        <f>D15/30</f>
        <v>0.83333333333333337</v>
      </c>
      <c r="H15" s="221">
        <f>1*G15</f>
        <v>0.83333333333333337</v>
      </c>
      <c r="I15" s="221">
        <f>G15*3</f>
        <v>2.5</v>
      </c>
      <c r="J15" s="221">
        <f>0</f>
        <v>0</v>
      </c>
      <c r="K15" s="221">
        <f>H15*4+I15*4+J15*9</f>
        <v>13.333333333333334</v>
      </c>
    </row>
    <row r="16" spans="1:11">
      <c r="A16" s="518"/>
      <c r="B16" s="459"/>
      <c r="C16" s="138" t="s">
        <v>36</v>
      </c>
      <c r="D16" s="2">
        <v>15</v>
      </c>
      <c r="E16" s="7">
        <f t="shared" si="0"/>
        <v>0</v>
      </c>
      <c r="F16" s="117" t="s">
        <v>81</v>
      </c>
      <c r="G16" s="221">
        <f>D16/100</f>
        <v>0.15</v>
      </c>
      <c r="H16" s="221">
        <f>1*G16</f>
        <v>0.15</v>
      </c>
      <c r="I16" s="221">
        <f>G16*5</f>
        <v>0.75</v>
      </c>
      <c r="J16" s="221">
        <f>0</f>
        <v>0</v>
      </c>
      <c r="K16" s="221">
        <f>H16*4+I16*4+J16*9</f>
        <v>3.6</v>
      </c>
    </row>
    <row r="17" spans="1:11">
      <c r="A17" s="518"/>
      <c r="B17" s="459"/>
      <c r="C17" s="138" t="s">
        <v>52</v>
      </c>
      <c r="D17" s="2">
        <v>0.5</v>
      </c>
      <c r="E17" s="7">
        <f t="shared" si="0"/>
        <v>0</v>
      </c>
      <c r="F17" s="119" t="s">
        <v>24</v>
      </c>
      <c r="G17" s="252"/>
      <c r="H17" s="278"/>
      <c r="I17" s="278"/>
      <c r="J17" s="278"/>
      <c r="K17" s="278"/>
    </row>
    <row r="18" spans="1:11">
      <c r="A18" s="518"/>
      <c r="B18" s="453"/>
      <c r="C18" s="22" t="s">
        <v>61</v>
      </c>
      <c r="D18" s="9">
        <v>3</v>
      </c>
      <c r="E18" s="7">
        <f t="shared" si="0"/>
        <v>0</v>
      </c>
      <c r="F18" s="186" t="s">
        <v>110</v>
      </c>
      <c r="G18" s="221">
        <f>D18/5</f>
        <v>0.6</v>
      </c>
      <c r="H18" s="221">
        <f>0</f>
        <v>0</v>
      </c>
      <c r="I18" s="221">
        <f>G18*0</f>
        <v>0</v>
      </c>
      <c r="J18" s="221">
        <f>G18*5</f>
        <v>3</v>
      </c>
      <c r="K18" s="221">
        <f t="shared" ref="K18:K23" si="3">H18*4+I18*4+J18*9</f>
        <v>27</v>
      </c>
    </row>
    <row r="19" spans="1:11" s="182" customFormat="1">
      <c r="A19" s="518"/>
      <c r="B19" s="457" t="s">
        <v>701</v>
      </c>
      <c r="C19" s="138" t="s">
        <v>567</v>
      </c>
      <c r="D19" s="2">
        <v>30</v>
      </c>
      <c r="E19" s="7">
        <f t="shared" si="0"/>
        <v>0</v>
      </c>
      <c r="F19" s="117" t="s">
        <v>81</v>
      </c>
      <c r="G19" s="221">
        <f>D19/100</f>
        <v>0.3</v>
      </c>
      <c r="H19" s="221">
        <f>1*G19</f>
        <v>0.3</v>
      </c>
      <c r="I19" s="221">
        <f>G19*5</f>
        <v>1.5</v>
      </c>
      <c r="J19" s="221">
        <f>0</f>
        <v>0</v>
      </c>
      <c r="K19" s="221">
        <f t="shared" si="3"/>
        <v>7.2</v>
      </c>
    </row>
    <row r="20" spans="1:11" s="182" customFormat="1">
      <c r="A20" s="518"/>
      <c r="B20" s="457"/>
      <c r="C20" s="138" t="s">
        <v>328</v>
      </c>
      <c r="D20" s="2">
        <v>5</v>
      </c>
      <c r="E20" s="7">
        <f t="shared" si="0"/>
        <v>0</v>
      </c>
      <c r="F20" s="117" t="s">
        <v>81</v>
      </c>
      <c r="G20" s="221">
        <f>D20/100</f>
        <v>0.05</v>
      </c>
      <c r="H20" s="221">
        <f>1*G20</f>
        <v>0.05</v>
      </c>
      <c r="I20" s="221">
        <f>G20*5</f>
        <v>0.25</v>
      </c>
      <c r="J20" s="221">
        <f>0</f>
        <v>0</v>
      </c>
      <c r="K20" s="221">
        <f t="shared" si="3"/>
        <v>1.2</v>
      </c>
    </row>
    <row r="21" spans="1:11" s="182" customFormat="1">
      <c r="A21" s="518"/>
      <c r="B21" s="457"/>
      <c r="C21" s="22" t="s">
        <v>61</v>
      </c>
      <c r="D21" s="9">
        <v>3</v>
      </c>
      <c r="E21" s="7">
        <f t="shared" si="0"/>
        <v>0</v>
      </c>
      <c r="F21" s="186" t="s">
        <v>110</v>
      </c>
      <c r="G21" s="221">
        <f>D21/5</f>
        <v>0.6</v>
      </c>
      <c r="H21" s="221">
        <f>0</f>
        <v>0</v>
      </c>
      <c r="I21" s="221">
        <f>G21*0</f>
        <v>0</v>
      </c>
      <c r="J21" s="221">
        <f>G21*5</f>
        <v>3</v>
      </c>
      <c r="K21" s="221">
        <f t="shared" si="3"/>
        <v>27</v>
      </c>
    </row>
    <row r="22" spans="1:11" s="182" customFormat="1">
      <c r="A22" s="518"/>
      <c r="B22" s="500" t="s">
        <v>175</v>
      </c>
      <c r="C22" s="138" t="s">
        <v>63</v>
      </c>
      <c r="D22" s="2">
        <v>40</v>
      </c>
      <c r="E22" s="7">
        <f t="shared" si="0"/>
        <v>0</v>
      </c>
      <c r="F22" s="117" t="s">
        <v>81</v>
      </c>
      <c r="G22" s="221">
        <f>D22/100</f>
        <v>0.4</v>
      </c>
      <c r="H22" s="221">
        <f>1*G22</f>
        <v>0.4</v>
      </c>
      <c r="I22" s="221">
        <f>G22*5</f>
        <v>2</v>
      </c>
      <c r="J22" s="221">
        <f>0</f>
        <v>0</v>
      </c>
      <c r="K22" s="221">
        <f t="shared" si="3"/>
        <v>9.6</v>
      </c>
    </row>
    <row r="23" spans="1:11" s="182" customFormat="1">
      <c r="A23" s="518"/>
      <c r="B23" s="500"/>
      <c r="C23" s="138" t="s">
        <v>300</v>
      </c>
      <c r="D23" s="2">
        <v>12</v>
      </c>
      <c r="E23" s="7">
        <f t="shared" si="0"/>
        <v>0</v>
      </c>
      <c r="F23" s="117" t="s">
        <v>112</v>
      </c>
      <c r="G23" s="252">
        <v>0.2</v>
      </c>
      <c r="H23" s="252">
        <f>G23*7</f>
        <v>1.4000000000000001</v>
      </c>
      <c r="I23" s="252"/>
      <c r="J23" s="252">
        <f>G23*5</f>
        <v>1</v>
      </c>
      <c r="K23" s="221">
        <f t="shared" si="3"/>
        <v>14.600000000000001</v>
      </c>
    </row>
    <row r="24" spans="1:11" s="182" customFormat="1">
      <c r="A24" s="518"/>
      <c r="B24" s="500"/>
      <c r="C24" s="138" t="s">
        <v>59</v>
      </c>
      <c r="D24" s="2">
        <v>0.5</v>
      </c>
      <c r="E24" s="7">
        <f t="shared" si="0"/>
        <v>0</v>
      </c>
      <c r="F24" s="119" t="s">
        <v>24</v>
      </c>
      <c r="G24" s="252"/>
      <c r="H24" s="278"/>
      <c r="I24" s="278"/>
      <c r="J24" s="278"/>
      <c r="K24" s="278"/>
    </row>
    <row r="25" spans="1:11">
      <c r="A25" s="517" t="s">
        <v>2</v>
      </c>
      <c r="B25" s="511" t="s">
        <v>149</v>
      </c>
      <c r="C25" s="122" t="s">
        <v>357</v>
      </c>
      <c r="D25" s="118">
        <v>20</v>
      </c>
      <c r="E25" s="7">
        <f>D25*D1/1000</f>
        <v>0</v>
      </c>
      <c r="F25" s="117" t="s">
        <v>112</v>
      </c>
      <c r="G25" s="252">
        <f>D25/65</f>
        <v>0.30769230769230771</v>
      </c>
      <c r="H25" s="252">
        <f>G25*7</f>
        <v>2.1538461538461542</v>
      </c>
      <c r="I25" s="252"/>
      <c r="J25" s="252">
        <f>G25*3</f>
        <v>0.92307692307692313</v>
      </c>
      <c r="K25" s="221">
        <f t="shared" si="1"/>
        <v>16.923076923076927</v>
      </c>
    </row>
    <row r="26" spans="1:11">
      <c r="A26" s="518"/>
      <c r="B26" s="511"/>
      <c r="C26" s="122" t="s">
        <v>358</v>
      </c>
      <c r="D26" s="118">
        <v>15</v>
      </c>
      <c r="E26" s="7">
        <f>D26*D1/1000</f>
        <v>0</v>
      </c>
      <c r="F26" s="117" t="s">
        <v>88</v>
      </c>
      <c r="G26" s="252">
        <f>D26/25</f>
        <v>0.6</v>
      </c>
      <c r="H26" s="221">
        <f>G26*2</f>
        <v>1.2</v>
      </c>
      <c r="I26" s="221">
        <f>G26*15</f>
        <v>9</v>
      </c>
      <c r="J26" s="221">
        <v>0</v>
      </c>
      <c r="K26" s="221">
        <f t="shared" si="1"/>
        <v>40.799999999999997</v>
      </c>
    </row>
    <row r="27" spans="1:11">
      <c r="A27" s="518"/>
      <c r="B27" s="511"/>
      <c r="C27" s="122" t="s">
        <v>359</v>
      </c>
      <c r="D27" s="118">
        <v>5</v>
      </c>
      <c r="E27" s="7">
        <f>D27*D1/1000</f>
        <v>0</v>
      </c>
      <c r="F27" s="117" t="s">
        <v>81</v>
      </c>
      <c r="G27" s="221">
        <f>D27/100</f>
        <v>0.05</v>
      </c>
      <c r="H27" s="221">
        <f>1*G27</f>
        <v>0.05</v>
      </c>
      <c r="I27" s="221">
        <f>G27*5</f>
        <v>0.25</v>
      </c>
      <c r="J27" s="221">
        <f>0</f>
        <v>0</v>
      </c>
      <c r="K27" s="221">
        <f t="shared" si="1"/>
        <v>1.2</v>
      </c>
    </row>
    <row r="28" spans="1:11">
      <c r="A28" s="518"/>
      <c r="B28" s="511"/>
      <c r="C28" s="122" t="s">
        <v>36</v>
      </c>
      <c r="D28" s="118">
        <v>2</v>
      </c>
      <c r="E28" s="8">
        <f>D28*D1/1000</f>
        <v>0</v>
      </c>
      <c r="F28" s="119" t="s">
        <v>24</v>
      </c>
      <c r="G28" s="117"/>
      <c r="H28" s="117"/>
      <c r="I28" s="117"/>
      <c r="J28" s="117"/>
      <c r="K28" s="117"/>
    </row>
    <row r="29" spans="1:11">
      <c r="A29" s="518"/>
      <c r="B29" s="511"/>
      <c r="C29" s="122" t="s">
        <v>52</v>
      </c>
      <c r="D29" s="118">
        <v>0.5</v>
      </c>
      <c r="E29" s="7">
        <f>D29*D1/1000</f>
        <v>0</v>
      </c>
      <c r="F29" s="119" t="s">
        <v>24</v>
      </c>
      <c r="G29" s="117"/>
      <c r="H29" s="117"/>
      <c r="I29" s="117"/>
      <c r="J29" s="117"/>
      <c r="K29" s="117"/>
    </row>
    <row r="30" spans="1:11">
      <c r="A30" s="518"/>
      <c r="B30" s="511"/>
      <c r="C30" s="122" t="s">
        <v>360</v>
      </c>
      <c r="D30" s="118">
        <v>2</v>
      </c>
      <c r="E30" s="7">
        <f>D30*D1/1000</f>
        <v>0</v>
      </c>
      <c r="F30" s="119" t="s">
        <v>24</v>
      </c>
      <c r="G30" s="117"/>
      <c r="H30" s="117"/>
      <c r="I30" s="117"/>
      <c r="J30" s="117"/>
      <c r="K30" s="117"/>
    </row>
    <row r="31" spans="1:11">
      <c r="A31" s="518"/>
      <c r="B31" s="511"/>
      <c r="C31" s="122" t="s">
        <v>25</v>
      </c>
      <c r="D31" s="118" t="s">
        <v>182</v>
      </c>
      <c r="E31" s="7"/>
      <c r="F31" s="119" t="s">
        <v>24</v>
      </c>
      <c r="G31" s="117"/>
      <c r="H31" s="117"/>
      <c r="I31" s="117"/>
      <c r="J31" s="117"/>
      <c r="K31" s="117"/>
    </row>
    <row r="32" spans="1:11" s="342" customFormat="1">
      <c r="A32" s="519"/>
      <c r="B32" s="2" t="s">
        <v>656</v>
      </c>
      <c r="C32" s="14" t="s">
        <v>657</v>
      </c>
      <c r="D32" s="347"/>
      <c r="E32" s="7"/>
      <c r="F32" s="346" t="s">
        <v>8</v>
      </c>
      <c r="G32" s="282">
        <v>1</v>
      </c>
      <c r="H32" s="282">
        <f>G32*0</f>
        <v>0</v>
      </c>
      <c r="I32" s="282">
        <f>G32*15</f>
        <v>15</v>
      </c>
      <c r="J32" s="282">
        <f>G32*0</f>
        <v>0</v>
      </c>
      <c r="K32" s="282">
        <f t="shared" ref="K32" si="4">H32*4+I32*4+J32*9</f>
        <v>60</v>
      </c>
    </row>
    <row r="33" spans="1:11" ht="21">
      <c r="A33" s="487" t="s">
        <v>499</v>
      </c>
      <c r="B33" s="487"/>
      <c r="C33" s="234"/>
      <c r="D33" s="235"/>
      <c r="E33" s="235"/>
      <c r="F33" s="236"/>
      <c r="G33" s="236"/>
      <c r="H33" s="237">
        <f>SUM(H3:H31)</f>
        <v>27.337179487179487</v>
      </c>
      <c r="I33" s="237">
        <f>SUM(I3:I32)</f>
        <v>96.75</v>
      </c>
      <c r="J33" s="237">
        <f>SUM(J3:J31)</f>
        <v>22.737362637362637</v>
      </c>
      <c r="K33" s="299">
        <f t="shared" ref="K33" si="5">H33*4+I33*4+J33*9</f>
        <v>700.98498168498168</v>
      </c>
    </row>
    <row r="34" spans="1:11" ht="19.5">
      <c r="A34" s="461" t="s">
        <v>537</v>
      </c>
      <c r="B34" s="462"/>
      <c r="C34" s="261"/>
      <c r="D34" s="261"/>
      <c r="E34" s="261"/>
      <c r="F34" s="262"/>
      <c r="G34" s="262"/>
      <c r="H34" s="257">
        <f>+H33*4/K33</f>
        <v>0.15599295392302512</v>
      </c>
      <c r="I34" s="257">
        <f>+I33*4/K33</f>
        <v>0.55208030144919051</v>
      </c>
      <c r="J34" s="257">
        <f>+J33*9/K33</f>
        <v>0.29192674462778434</v>
      </c>
      <c r="K34" s="257">
        <f>+H34+I34+J34</f>
        <v>1</v>
      </c>
    </row>
  </sheetData>
  <mergeCells count="14">
    <mergeCell ref="A34:B34"/>
    <mergeCell ref="B15:B18"/>
    <mergeCell ref="B19:B21"/>
    <mergeCell ref="B22:B24"/>
    <mergeCell ref="B25:B31"/>
    <mergeCell ref="A25:A32"/>
    <mergeCell ref="B7:B8"/>
    <mergeCell ref="A7:A24"/>
    <mergeCell ref="A33:B33"/>
    <mergeCell ref="A1:B1"/>
    <mergeCell ref="F1:K1"/>
    <mergeCell ref="B3:B6"/>
    <mergeCell ref="A3:A6"/>
    <mergeCell ref="B9:B14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40"/>
  <sheetViews>
    <sheetView topLeftCell="A8" zoomScale="70" zoomScaleNormal="70" workbookViewId="0">
      <selection activeCell="C24" sqref="C24"/>
    </sheetView>
  </sheetViews>
  <sheetFormatPr defaultRowHeight="16.5"/>
  <cols>
    <col min="1" max="1" width="5.5" customWidth="1"/>
    <col min="2" max="2" width="14.625" customWidth="1"/>
    <col min="3" max="3" width="12.25" customWidth="1"/>
    <col min="4" max="4" width="6.375" customWidth="1"/>
    <col min="5" max="5" width="7.875" customWidth="1"/>
    <col min="6" max="6" width="5.5" style="80" customWidth="1"/>
    <col min="7" max="7" width="6.625" style="80" customWidth="1"/>
    <col min="8" max="8" width="9.75" style="80" customWidth="1"/>
    <col min="9" max="9" width="9" style="80"/>
    <col min="10" max="10" width="6.625" style="80" customWidth="1"/>
    <col min="11" max="11" width="8.375" style="80" customWidth="1"/>
  </cols>
  <sheetData>
    <row r="1" spans="1:11" ht="39.75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23" t="s">
        <v>16</v>
      </c>
      <c r="B2" s="28" t="s">
        <v>17</v>
      </c>
      <c r="C2" s="2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38" t="s">
        <v>0</v>
      </c>
      <c r="B3" s="441" t="s">
        <v>11</v>
      </c>
      <c r="C3" s="12" t="s">
        <v>106</v>
      </c>
      <c r="D3" s="6">
        <v>10</v>
      </c>
      <c r="E3" s="7">
        <f>D3*D$1/1000</f>
        <v>0</v>
      </c>
      <c r="F3" s="76" t="s">
        <v>88</v>
      </c>
      <c r="G3" s="225">
        <f>D3/20</f>
        <v>0.5</v>
      </c>
      <c r="H3" s="221">
        <f>G3*2</f>
        <v>1</v>
      </c>
      <c r="I3" s="221">
        <f>G3*15</f>
        <v>7.5</v>
      </c>
      <c r="J3" s="221">
        <f>G3*0</f>
        <v>0</v>
      </c>
      <c r="K3" s="221">
        <f>H3*4+I3*4+J3*9</f>
        <v>34</v>
      </c>
    </row>
    <row r="4" spans="1:11">
      <c r="A4" s="439"/>
      <c r="B4" s="442"/>
      <c r="C4" s="12" t="s">
        <v>107</v>
      </c>
      <c r="D4" s="6">
        <v>8</v>
      </c>
      <c r="E4" s="7">
        <f t="shared" ref="E4:E37" si="0">D4*D$1/1000</f>
        <v>0</v>
      </c>
      <c r="F4" s="186" t="s">
        <v>112</v>
      </c>
      <c r="G4" s="221">
        <f>D4/35</f>
        <v>0.22857142857142856</v>
      </c>
      <c r="H4" s="221">
        <f>+G4*7</f>
        <v>1.5999999999999999</v>
      </c>
      <c r="I4" s="278"/>
      <c r="J4" s="221">
        <f>+G4*3</f>
        <v>0.68571428571428572</v>
      </c>
      <c r="K4" s="225">
        <f t="shared" ref="K4:K9" si="1">H4*4+I4*4+J4*9</f>
        <v>12.571428571428571</v>
      </c>
    </row>
    <row r="5" spans="1:11">
      <c r="A5" s="439"/>
      <c r="B5" s="442"/>
      <c r="C5" s="13" t="s">
        <v>80</v>
      </c>
      <c r="D5" s="10">
        <v>8</v>
      </c>
      <c r="E5" s="7">
        <f t="shared" si="0"/>
        <v>0</v>
      </c>
      <c r="F5" s="186" t="s">
        <v>112</v>
      </c>
      <c r="G5" s="221">
        <f>D5/35</f>
        <v>0.22857142857142856</v>
      </c>
      <c r="H5" s="221">
        <f>+G5*7</f>
        <v>1.5999999999999999</v>
      </c>
      <c r="I5" s="278"/>
      <c r="J5" s="221">
        <f>+G5*3</f>
        <v>0.68571428571428572</v>
      </c>
      <c r="K5" s="225"/>
    </row>
    <row r="6" spans="1:11">
      <c r="A6" s="439"/>
      <c r="B6" s="442"/>
      <c r="C6" s="12" t="s">
        <v>19</v>
      </c>
      <c r="D6" s="6">
        <v>0.3</v>
      </c>
      <c r="E6" s="7">
        <f t="shared" si="0"/>
        <v>0</v>
      </c>
      <c r="F6" s="77" t="s">
        <v>24</v>
      </c>
      <c r="G6" s="251"/>
      <c r="H6" s="221"/>
      <c r="I6" s="221"/>
      <c r="J6" s="221"/>
      <c r="K6" s="221">
        <f t="shared" si="1"/>
        <v>0</v>
      </c>
    </row>
    <row r="7" spans="1:11">
      <c r="A7" s="439"/>
      <c r="B7" s="442"/>
      <c r="C7" s="13" t="s">
        <v>21</v>
      </c>
      <c r="D7" s="6">
        <v>0.5</v>
      </c>
      <c r="E7" s="7">
        <f t="shared" si="0"/>
        <v>0</v>
      </c>
      <c r="F7" s="77" t="s">
        <v>24</v>
      </c>
      <c r="G7" s="251"/>
      <c r="H7" s="221"/>
      <c r="I7" s="221"/>
      <c r="J7" s="221"/>
      <c r="K7" s="221">
        <f>H7*4+I7*4+J7*9</f>
        <v>0</v>
      </c>
    </row>
    <row r="8" spans="1:11">
      <c r="A8" s="439"/>
      <c r="B8" s="442"/>
      <c r="C8" s="13" t="s">
        <v>22</v>
      </c>
      <c r="D8" s="6">
        <v>3</v>
      </c>
      <c r="E8" s="7">
        <f t="shared" si="0"/>
        <v>0</v>
      </c>
      <c r="F8" s="76" t="s">
        <v>81</v>
      </c>
      <c r="G8" s="225">
        <v>0.03</v>
      </c>
      <c r="H8" s="221">
        <f>1*G8</f>
        <v>0.03</v>
      </c>
      <c r="I8" s="221">
        <f>G8*5</f>
        <v>0.15</v>
      </c>
      <c r="J8" s="221">
        <f>0</f>
        <v>0</v>
      </c>
      <c r="K8" s="221">
        <f t="shared" si="1"/>
        <v>0.72</v>
      </c>
    </row>
    <row r="9" spans="1:11">
      <c r="A9" s="439"/>
      <c r="B9" s="442"/>
      <c r="C9" s="13" t="s">
        <v>59</v>
      </c>
      <c r="D9" s="6">
        <v>10</v>
      </c>
      <c r="E9" s="7">
        <f t="shared" si="0"/>
        <v>0</v>
      </c>
      <c r="F9" s="76" t="s">
        <v>81</v>
      </c>
      <c r="G9" s="225">
        <v>0.1</v>
      </c>
      <c r="H9" s="221">
        <f>1*G9</f>
        <v>0.1</v>
      </c>
      <c r="I9" s="221">
        <f>G9*5</f>
        <v>0.5</v>
      </c>
      <c r="J9" s="221">
        <f>0</f>
        <v>0</v>
      </c>
      <c r="K9" s="221">
        <f t="shared" si="1"/>
        <v>2.4</v>
      </c>
    </row>
    <row r="10" spans="1:11">
      <c r="A10" s="439"/>
      <c r="B10" s="442"/>
      <c r="C10" s="13" t="s">
        <v>36</v>
      </c>
      <c r="D10" s="6">
        <v>3</v>
      </c>
      <c r="E10" s="7">
        <f t="shared" si="0"/>
        <v>0</v>
      </c>
      <c r="F10" s="76" t="s">
        <v>81</v>
      </c>
      <c r="G10" s="225">
        <f>D10/100</f>
        <v>0.03</v>
      </c>
      <c r="H10" s="221">
        <f>1*G10</f>
        <v>0.03</v>
      </c>
      <c r="I10" s="221">
        <f>G10*5</f>
        <v>0.15</v>
      </c>
      <c r="J10" s="221">
        <f>0</f>
        <v>0</v>
      </c>
      <c r="K10" s="221">
        <f>H10*4+I10*4+J10*9</f>
        <v>0.72</v>
      </c>
    </row>
    <row r="11" spans="1:11">
      <c r="A11" s="440" t="s">
        <v>1</v>
      </c>
      <c r="B11" s="440" t="s">
        <v>528</v>
      </c>
      <c r="C11" s="13" t="s">
        <v>529</v>
      </c>
      <c r="D11" s="10">
        <v>5</v>
      </c>
      <c r="E11" s="7">
        <f t="shared" si="0"/>
        <v>0</v>
      </c>
      <c r="F11" s="75" t="s">
        <v>88</v>
      </c>
      <c r="G11" s="479">
        <v>2</v>
      </c>
      <c r="H11" s="479">
        <f>G11*2</f>
        <v>4</v>
      </c>
      <c r="I11" s="479">
        <f>G11*15</f>
        <v>30</v>
      </c>
      <c r="J11" s="479">
        <v>0</v>
      </c>
      <c r="K11" s="479">
        <f>H11*4+I11*4+J11*9</f>
        <v>136</v>
      </c>
    </row>
    <row r="12" spans="1:11">
      <c r="A12" s="434"/>
      <c r="B12" s="435"/>
      <c r="C12" s="14" t="s">
        <v>28</v>
      </c>
      <c r="D12" s="10">
        <v>35</v>
      </c>
      <c r="E12" s="7">
        <f t="shared" si="0"/>
        <v>0</v>
      </c>
      <c r="F12" s="75" t="s">
        <v>88</v>
      </c>
      <c r="G12" s="480"/>
      <c r="H12" s="480"/>
      <c r="I12" s="480"/>
      <c r="J12" s="480"/>
      <c r="K12" s="480"/>
    </row>
    <row r="13" spans="1:11">
      <c r="A13" s="434"/>
      <c r="B13" s="458" t="s">
        <v>571</v>
      </c>
      <c r="C13" s="212" t="s">
        <v>378</v>
      </c>
      <c r="D13" s="322">
        <v>6</v>
      </c>
      <c r="E13" s="7">
        <f t="shared" si="0"/>
        <v>0</v>
      </c>
      <c r="F13" s="186" t="s">
        <v>88</v>
      </c>
      <c r="G13" s="221">
        <v>0.3</v>
      </c>
      <c r="H13" s="221">
        <f>+G13*2</f>
        <v>0.6</v>
      </c>
      <c r="I13" s="221">
        <f>+G13*15</f>
        <v>4.5</v>
      </c>
      <c r="J13" s="277"/>
      <c r="K13" s="221">
        <f>H13*4+I13*4+J13*9</f>
        <v>20.399999999999999</v>
      </c>
    </row>
    <row r="14" spans="1:11">
      <c r="A14" s="434"/>
      <c r="B14" s="533"/>
      <c r="C14" s="212" t="s">
        <v>572</v>
      </c>
      <c r="D14" s="213">
        <v>55</v>
      </c>
      <c r="E14" s="7">
        <f t="shared" si="0"/>
        <v>0</v>
      </c>
      <c r="F14" s="186" t="s">
        <v>112</v>
      </c>
      <c r="G14" s="221">
        <f>D14/40</f>
        <v>1.375</v>
      </c>
      <c r="H14" s="221">
        <f>+G14*7</f>
        <v>9.625</v>
      </c>
      <c r="I14" s="277"/>
      <c r="J14" s="221">
        <f>+G14*3</f>
        <v>4.125</v>
      </c>
      <c r="K14" s="221">
        <f t="shared" ref="K14:K31" si="2">H14*4+I14*4+J14*9</f>
        <v>75.625</v>
      </c>
    </row>
    <row r="15" spans="1:11">
      <c r="A15" s="434"/>
      <c r="B15" s="533"/>
      <c r="C15" s="212" t="s">
        <v>524</v>
      </c>
      <c r="D15" s="213" t="s">
        <v>522</v>
      </c>
      <c r="E15" s="7"/>
      <c r="F15" s="186"/>
      <c r="G15" s="221"/>
      <c r="H15" s="221"/>
      <c r="I15" s="221"/>
      <c r="J15" s="221"/>
      <c r="K15" s="221">
        <f t="shared" si="2"/>
        <v>0</v>
      </c>
    </row>
    <row r="16" spans="1:11">
      <c r="A16" s="434"/>
      <c r="B16" s="533"/>
      <c r="C16" s="323" t="s">
        <v>504</v>
      </c>
      <c r="D16" s="213">
        <v>5</v>
      </c>
      <c r="E16" s="7">
        <f t="shared" si="0"/>
        <v>0</v>
      </c>
      <c r="F16" s="186" t="s">
        <v>77</v>
      </c>
      <c r="G16" s="221">
        <f>D16</f>
        <v>5</v>
      </c>
      <c r="H16" s="221"/>
      <c r="I16" s="221">
        <f>+G16</f>
        <v>5</v>
      </c>
      <c r="J16" s="277"/>
      <c r="K16" s="221">
        <f t="shared" si="2"/>
        <v>20</v>
      </c>
    </row>
    <row r="17" spans="1:11">
      <c r="A17" s="434"/>
      <c r="B17" s="533"/>
      <c r="C17" s="303" t="s">
        <v>32</v>
      </c>
      <c r="D17" s="304">
        <v>2</v>
      </c>
      <c r="E17" s="7">
        <f t="shared" si="0"/>
        <v>0</v>
      </c>
      <c r="F17" s="76" t="s">
        <v>81</v>
      </c>
      <c r="G17" s="225">
        <f>D17/100</f>
        <v>0.02</v>
      </c>
      <c r="H17" s="221">
        <f>1*G17</f>
        <v>0.02</v>
      </c>
      <c r="I17" s="221">
        <f>G17*5</f>
        <v>0.1</v>
      </c>
      <c r="J17" s="221"/>
      <c r="K17" s="221">
        <f t="shared" si="2"/>
        <v>0.48000000000000004</v>
      </c>
    </row>
    <row r="18" spans="1:11">
      <c r="A18" s="434"/>
      <c r="B18" s="534"/>
      <c r="C18" s="303" t="s">
        <v>61</v>
      </c>
      <c r="D18" s="304">
        <v>2</v>
      </c>
      <c r="E18" s="7">
        <f t="shared" si="0"/>
        <v>0</v>
      </c>
      <c r="F18" s="186" t="s">
        <v>110</v>
      </c>
      <c r="G18" s="221">
        <f>D18/5</f>
        <v>0.4</v>
      </c>
      <c r="H18" s="221"/>
      <c r="I18" s="277"/>
      <c r="J18" s="221">
        <f>+G18*5</f>
        <v>2</v>
      </c>
      <c r="K18" s="221">
        <f t="shared" si="2"/>
        <v>18</v>
      </c>
    </row>
    <row r="19" spans="1:11">
      <c r="A19" s="434"/>
      <c r="B19" s="539" t="s">
        <v>829</v>
      </c>
      <c r="C19" s="227" t="s">
        <v>830</v>
      </c>
      <c r="D19" s="46">
        <v>25</v>
      </c>
      <c r="E19" s="7">
        <f t="shared" si="0"/>
        <v>0</v>
      </c>
      <c r="F19" s="76" t="s">
        <v>81</v>
      </c>
      <c r="G19" s="225">
        <f>D19/100</f>
        <v>0.25</v>
      </c>
      <c r="H19" s="221">
        <f>1*G19</f>
        <v>0.25</v>
      </c>
      <c r="I19" s="221">
        <f>G19*5</f>
        <v>1.25</v>
      </c>
      <c r="J19" s="221"/>
      <c r="K19" s="221">
        <f t="shared" si="2"/>
        <v>6</v>
      </c>
    </row>
    <row r="20" spans="1:11">
      <c r="A20" s="434"/>
      <c r="B20" s="521"/>
      <c r="C20" s="216" t="s">
        <v>71</v>
      </c>
      <c r="D20" s="46">
        <v>3</v>
      </c>
      <c r="E20" s="7">
        <f t="shared" si="0"/>
        <v>0</v>
      </c>
      <c r="F20" s="76" t="s">
        <v>81</v>
      </c>
      <c r="G20" s="225">
        <f>D20/100</f>
        <v>0.03</v>
      </c>
      <c r="H20" s="221">
        <f>1*G20</f>
        <v>0.03</v>
      </c>
      <c r="I20" s="221">
        <f>G20*5</f>
        <v>0.15</v>
      </c>
      <c r="J20" s="221"/>
      <c r="K20" s="221">
        <f t="shared" si="2"/>
        <v>0.72</v>
      </c>
    </row>
    <row r="21" spans="1:11">
      <c r="A21" s="434"/>
      <c r="B21" s="521"/>
      <c r="C21" s="216" t="s">
        <v>224</v>
      </c>
      <c r="D21" s="46">
        <v>2</v>
      </c>
      <c r="E21" s="7">
        <f t="shared" si="0"/>
        <v>0</v>
      </c>
      <c r="F21" s="76" t="s">
        <v>81</v>
      </c>
      <c r="G21" s="225">
        <f>D21/100</f>
        <v>0.02</v>
      </c>
      <c r="H21" s="221">
        <f>1*G21</f>
        <v>0.02</v>
      </c>
      <c r="I21" s="221">
        <f>G21*5</f>
        <v>0.1</v>
      </c>
      <c r="J21" s="221"/>
      <c r="K21" s="221">
        <f t="shared" si="2"/>
        <v>0.48000000000000004</v>
      </c>
    </row>
    <row r="22" spans="1:11">
      <c r="A22" s="434"/>
      <c r="B22" s="521"/>
      <c r="C22" s="216" t="s">
        <v>573</v>
      </c>
      <c r="D22" s="46">
        <v>5</v>
      </c>
      <c r="E22" s="7">
        <f t="shared" si="0"/>
        <v>0</v>
      </c>
      <c r="F22" s="76" t="s">
        <v>81</v>
      </c>
      <c r="G22" s="225">
        <f>D22/100</f>
        <v>0.05</v>
      </c>
      <c r="H22" s="221">
        <f>1*G22</f>
        <v>0.05</v>
      </c>
      <c r="I22" s="221">
        <f>G22*5</f>
        <v>0.25</v>
      </c>
      <c r="J22" s="221"/>
      <c r="K22" s="221">
        <f t="shared" si="2"/>
        <v>1.2</v>
      </c>
    </row>
    <row r="23" spans="1:11">
      <c r="A23" s="434"/>
      <c r="B23" s="521"/>
      <c r="C23" s="227" t="s">
        <v>184</v>
      </c>
      <c r="D23" s="46">
        <v>15</v>
      </c>
      <c r="E23" s="7">
        <f t="shared" si="0"/>
        <v>0</v>
      </c>
      <c r="F23" s="186" t="s">
        <v>112</v>
      </c>
      <c r="G23" s="221">
        <f>D23/62</f>
        <v>0.24193548387096775</v>
      </c>
      <c r="H23" s="221">
        <f>G23*7</f>
        <v>1.6935483870967742</v>
      </c>
      <c r="I23" s="278"/>
      <c r="J23" s="221">
        <f>G23*5</f>
        <v>1.2096774193548387</v>
      </c>
      <c r="K23" s="221">
        <f t="shared" si="2"/>
        <v>17.661290322580644</v>
      </c>
    </row>
    <row r="24" spans="1:11">
      <c r="A24" s="434"/>
      <c r="B24" s="522"/>
      <c r="C24" s="22" t="s">
        <v>61</v>
      </c>
      <c r="D24" s="9">
        <v>2</v>
      </c>
      <c r="E24" s="7">
        <f t="shared" si="0"/>
        <v>0</v>
      </c>
      <c r="F24" s="75" t="s">
        <v>110</v>
      </c>
      <c r="G24" s="221">
        <f>D24/5</f>
        <v>0.4</v>
      </c>
      <c r="H24" s="221">
        <f>0</f>
        <v>0</v>
      </c>
      <c r="I24" s="221">
        <f>G24*0</f>
        <v>0</v>
      </c>
      <c r="J24" s="221">
        <f>G24*5</f>
        <v>2</v>
      </c>
      <c r="K24" s="221">
        <f t="shared" si="2"/>
        <v>18</v>
      </c>
    </row>
    <row r="25" spans="1:11">
      <c r="A25" s="434"/>
      <c r="B25" s="540" t="s">
        <v>683</v>
      </c>
      <c r="C25" s="216" t="s">
        <v>574</v>
      </c>
      <c r="D25" s="46">
        <v>40</v>
      </c>
      <c r="E25" s="7">
        <f t="shared" si="0"/>
        <v>0</v>
      </c>
      <c r="F25" s="76" t="s">
        <v>81</v>
      </c>
      <c r="G25" s="225">
        <f>D25/100</f>
        <v>0.4</v>
      </c>
      <c r="H25" s="221">
        <f>1*G25</f>
        <v>0.4</v>
      </c>
      <c r="I25" s="221">
        <f>G25*5</f>
        <v>2</v>
      </c>
      <c r="J25" s="221"/>
      <c r="K25" s="221">
        <f t="shared" si="2"/>
        <v>9.6</v>
      </c>
    </row>
    <row r="26" spans="1:11">
      <c r="A26" s="434"/>
      <c r="B26" s="522"/>
      <c r="C26" s="22" t="s">
        <v>61</v>
      </c>
      <c r="D26" s="9">
        <v>1</v>
      </c>
      <c r="E26" s="7">
        <f t="shared" si="0"/>
        <v>0</v>
      </c>
      <c r="F26" s="75" t="s">
        <v>110</v>
      </c>
      <c r="G26" s="221">
        <f>D26/5</f>
        <v>0.2</v>
      </c>
      <c r="H26" s="221">
        <f>0</f>
        <v>0</v>
      </c>
      <c r="I26" s="221">
        <f>G26*0</f>
        <v>0</v>
      </c>
      <c r="J26" s="221">
        <f>G26*5</f>
        <v>1</v>
      </c>
      <c r="K26" s="221">
        <f t="shared" si="2"/>
        <v>9</v>
      </c>
    </row>
    <row r="27" spans="1:11">
      <c r="A27" s="434"/>
      <c r="B27" s="541" t="s">
        <v>576</v>
      </c>
      <c r="C27" s="216" t="s">
        <v>223</v>
      </c>
      <c r="D27" s="46">
        <v>30</v>
      </c>
      <c r="E27" s="7">
        <f t="shared" si="0"/>
        <v>0</v>
      </c>
      <c r="F27" s="76" t="s">
        <v>88</v>
      </c>
      <c r="G27" s="225">
        <f>D27/90</f>
        <v>0.33333333333333331</v>
      </c>
      <c r="H27" s="225">
        <f>G27*2</f>
        <v>0.66666666666666663</v>
      </c>
      <c r="I27" s="225"/>
      <c r="J27" s="225">
        <f>G27*25</f>
        <v>8.3333333333333321</v>
      </c>
      <c r="K27" s="221">
        <f t="shared" si="2"/>
        <v>77.666666666666657</v>
      </c>
    </row>
    <row r="28" spans="1:11">
      <c r="A28" s="434"/>
      <c r="B28" s="542"/>
      <c r="C28" s="216" t="s">
        <v>53</v>
      </c>
      <c r="D28" s="46">
        <v>10</v>
      </c>
      <c r="E28" s="7">
        <f t="shared" si="0"/>
        <v>0</v>
      </c>
      <c r="F28" s="76" t="s">
        <v>81</v>
      </c>
      <c r="G28" s="225">
        <f>D28/100</f>
        <v>0.1</v>
      </c>
      <c r="H28" s="221">
        <f>1*G28</f>
        <v>0.1</v>
      </c>
      <c r="I28" s="221">
        <f>G28*5</f>
        <v>0.5</v>
      </c>
      <c r="J28" s="221"/>
      <c r="K28" s="221">
        <f t="shared" si="2"/>
        <v>2.4</v>
      </c>
    </row>
    <row r="29" spans="1:11">
      <c r="A29" s="434"/>
      <c r="B29" s="542"/>
      <c r="C29" s="216" t="s">
        <v>575</v>
      </c>
      <c r="D29" s="46">
        <v>7</v>
      </c>
      <c r="E29" s="7">
        <f t="shared" si="0"/>
        <v>0</v>
      </c>
      <c r="F29" s="76" t="s">
        <v>81</v>
      </c>
      <c r="G29" s="225">
        <f>D29/100</f>
        <v>7.0000000000000007E-2</v>
      </c>
      <c r="H29" s="221">
        <f>1*G29</f>
        <v>7.0000000000000007E-2</v>
      </c>
      <c r="I29" s="221">
        <f>G29*5</f>
        <v>0.35000000000000003</v>
      </c>
      <c r="J29" s="221"/>
      <c r="K29" s="221">
        <f t="shared" si="2"/>
        <v>1.6800000000000002</v>
      </c>
    </row>
    <row r="30" spans="1:11">
      <c r="A30" s="434"/>
      <c r="B30" s="542"/>
      <c r="C30" s="216" t="s">
        <v>224</v>
      </c>
      <c r="D30" s="46">
        <v>2</v>
      </c>
      <c r="E30" s="7">
        <f t="shared" si="0"/>
        <v>0</v>
      </c>
      <c r="F30" s="76" t="s">
        <v>81</v>
      </c>
      <c r="G30" s="225">
        <f>D30/100</f>
        <v>0.02</v>
      </c>
      <c r="H30" s="221">
        <f>1*G30</f>
        <v>0.02</v>
      </c>
      <c r="I30" s="221">
        <f>G30*5</f>
        <v>0.1</v>
      </c>
      <c r="J30" s="221"/>
      <c r="K30" s="221">
        <f t="shared" si="2"/>
        <v>0.48000000000000004</v>
      </c>
    </row>
    <row r="31" spans="1:11">
      <c r="A31" s="434"/>
      <c r="B31" s="542"/>
      <c r="C31" s="216" t="s">
        <v>79</v>
      </c>
      <c r="D31" s="46">
        <v>20</v>
      </c>
      <c r="E31" s="7">
        <f t="shared" si="0"/>
        <v>0</v>
      </c>
      <c r="F31" s="76" t="s">
        <v>81</v>
      </c>
      <c r="G31" s="225">
        <f>D31/100</f>
        <v>0.2</v>
      </c>
      <c r="H31" s="221">
        <f>1*G31</f>
        <v>0.2</v>
      </c>
      <c r="I31" s="221">
        <f>G31*5</f>
        <v>1</v>
      </c>
      <c r="J31" s="221"/>
      <c r="K31" s="221">
        <f t="shared" si="2"/>
        <v>4.8</v>
      </c>
    </row>
    <row r="32" spans="1:11">
      <c r="A32" s="435"/>
      <c r="B32" s="543"/>
      <c r="C32" s="216" t="s">
        <v>23</v>
      </c>
      <c r="D32" s="46"/>
      <c r="E32" s="7">
        <f t="shared" si="0"/>
        <v>0</v>
      </c>
      <c r="F32" s="76"/>
      <c r="G32" s="76"/>
      <c r="H32" s="76"/>
      <c r="I32" s="76"/>
      <c r="J32" s="76"/>
      <c r="K32" s="76"/>
    </row>
    <row r="33" spans="1:11">
      <c r="A33" s="440" t="s">
        <v>2</v>
      </c>
      <c r="B33" s="458" t="s">
        <v>577</v>
      </c>
      <c r="C33" s="138" t="s">
        <v>388</v>
      </c>
      <c r="D33" s="2">
        <v>20</v>
      </c>
      <c r="E33" s="7">
        <f t="shared" si="0"/>
        <v>0</v>
      </c>
      <c r="F33" s="117" t="s">
        <v>81</v>
      </c>
      <c r="G33" s="186">
        <f>D33/100</f>
        <v>0.2</v>
      </c>
      <c r="H33" s="186">
        <f>1*G33</f>
        <v>0.2</v>
      </c>
      <c r="I33" s="186">
        <f>G33*5</f>
        <v>1</v>
      </c>
      <c r="J33" s="186">
        <f>0</f>
        <v>0</v>
      </c>
      <c r="K33" s="101">
        <f>H33*4+I33*4+J33*9</f>
        <v>4.8</v>
      </c>
    </row>
    <row r="34" spans="1:11" s="182" customFormat="1">
      <c r="A34" s="434"/>
      <c r="B34" s="459"/>
      <c r="C34" s="138" t="s">
        <v>389</v>
      </c>
      <c r="D34" s="2">
        <v>4</v>
      </c>
      <c r="E34" s="7">
        <f t="shared" si="0"/>
        <v>0</v>
      </c>
      <c r="F34" s="117" t="s">
        <v>88</v>
      </c>
      <c r="G34" s="117">
        <v>0.2</v>
      </c>
      <c r="H34" s="186">
        <f>G34*2</f>
        <v>0.4</v>
      </c>
      <c r="I34" s="186">
        <f>G34*15</f>
        <v>3</v>
      </c>
      <c r="J34" s="186">
        <f>G34*0</f>
        <v>0</v>
      </c>
      <c r="K34" s="186">
        <v>70</v>
      </c>
    </row>
    <row r="35" spans="1:11" s="182" customFormat="1">
      <c r="A35" s="434"/>
      <c r="B35" s="459"/>
      <c r="C35" s="138" t="s">
        <v>390</v>
      </c>
      <c r="D35" s="2">
        <v>3</v>
      </c>
      <c r="E35" s="7">
        <f t="shared" si="0"/>
        <v>0</v>
      </c>
      <c r="F35" s="119" t="s">
        <v>24</v>
      </c>
      <c r="G35" s="117"/>
      <c r="H35" s="107"/>
      <c r="I35" s="107"/>
      <c r="J35" s="107"/>
      <c r="K35" s="107"/>
    </row>
    <row r="36" spans="1:11" s="182" customFormat="1">
      <c r="A36" s="434"/>
      <c r="B36" s="459"/>
      <c r="C36" s="138" t="s">
        <v>391</v>
      </c>
      <c r="D36" s="2">
        <v>15</v>
      </c>
      <c r="E36" s="7">
        <f t="shared" si="0"/>
        <v>0</v>
      </c>
      <c r="F36" s="119" t="s">
        <v>24</v>
      </c>
      <c r="G36" s="117"/>
      <c r="H36" s="107"/>
      <c r="I36" s="117">
        <v>15</v>
      </c>
      <c r="J36" s="107"/>
      <c r="K36" s="186">
        <v>70</v>
      </c>
    </row>
    <row r="37" spans="1:11" s="182" customFormat="1">
      <c r="A37" s="434"/>
      <c r="B37" s="460"/>
      <c r="C37" s="255" t="s">
        <v>129</v>
      </c>
      <c r="D37" s="256">
        <v>120</v>
      </c>
      <c r="E37" s="7">
        <f t="shared" si="0"/>
        <v>0</v>
      </c>
      <c r="F37" s="84" t="s">
        <v>75</v>
      </c>
      <c r="G37" s="221">
        <f>D37/240</f>
        <v>0.5</v>
      </c>
      <c r="H37" s="221">
        <f>G37*8</f>
        <v>4</v>
      </c>
      <c r="I37" s="221">
        <f>G37*12</f>
        <v>6</v>
      </c>
      <c r="J37" s="221">
        <f>G37*4</f>
        <v>2</v>
      </c>
      <c r="K37" s="221">
        <f t="shared" ref="K37:K38" si="3">H37*4+I37*4+J37*9</f>
        <v>58</v>
      </c>
    </row>
    <row r="38" spans="1:11">
      <c r="A38" s="435"/>
      <c r="B38" s="2" t="s">
        <v>639</v>
      </c>
      <c r="C38" s="14" t="s">
        <v>640</v>
      </c>
      <c r="D38" s="190"/>
      <c r="E38" s="7"/>
      <c r="F38" s="186" t="s">
        <v>8</v>
      </c>
      <c r="G38" s="282">
        <v>1</v>
      </c>
      <c r="H38" s="282">
        <f>G38*0</f>
        <v>0</v>
      </c>
      <c r="I38" s="282">
        <f>G38*15</f>
        <v>15</v>
      </c>
      <c r="J38" s="282">
        <f>G38*0</f>
        <v>0</v>
      </c>
      <c r="K38" s="282">
        <f t="shared" si="3"/>
        <v>60</v>
      </c>
    </row>
    <row r="39" spans="1:11" ht="21">
      <c r="A39" s="487" t="s">
        <v>499</v>
      </c>
      <c r="B39" s="487"/>
      <c r="C39" s="234"/>
      <c r="D39" s="235"/>
      <c r="E39" s="235"/>
      <c r="F39" s="236"/>
      <c r="G39" s="236"/>
      <c r="H39" s="237">
        <f>SUM(H3:H38)</f>
        <v>26.705215053763443</v>
      </c>
      <c r="I39" s="237">
        <f>SUM(I3:I38)</f>
        <v>93.6</v>
      </c>
      <c r="J39" s="237">
        <f>SUM(J3:J38)</f>
        <v>22.039439324116742</v>
      </c>
      <c r="K39" s="292">
        <f t="shared" ref="K39" si="4">H39*4+I39*4+J39*9</f>
        <v>679.57581413210437</v>
      </c>
    </row>
    <row r="40" spans="1:11" ht="19.5">
      <c r="A40" s="461" t="s">
        <v>537</v>
      </c>
      <c r="B40" s="462"/>
      <c r="C40" s="261"/>
      <c r="D40" s="261"/>
      <c r="E40" s="261"/>
      <c r="F40" s="262"/>
      <c r="G40" s="262"/>
      <c r="H40" s="257">
        <f>+H39*4/K39</f>
        <v>0.15718755434443493</v>
      </c>
      <c r="I40" s="257">
        <f>+I39*4/K39</f>
        <v>0.55093190813176796</v>
      </c>
      <c r="J40" s="257">
        <f>+J39*9/K39</f>
        <v>0.29188053752379717</v>
      </c>
      <c r="K40" s="257">
        <f>+H40+I40+J40</f>
        <v>1</v>
      </c>
    </row>
  </sheetData>
  <mergeCells count="19">
    <mergeCell ref="B33:B37"/>
    <mergeCell ref="A39:B39"/>
    <mergeCell ref="A40:B40"/>
    <mergeCell ref="B13:B18"/>
    <mergeCell ref="B19:B24"/>
    <mergeCell ref="B25:B26"/>
    <mergeCell ref="B27:B32"/>
    <mergeCell ref="A33:A38"/>
    <mergeCell ref="K11:K12"/>
    <mergeCell ref="B11:B12"/>
    <mergeCell ref="G11:G12"/>
    <mergeCell ref="H11:H12"/>
    <mergeCell ref="A1:B1"/>
    <mergeCell ref="F1:K1"/>
    <mergeCell ref="A11:A32"/>
    <mergeCell ref="A3:A10"/>
    <mergeCell ref="B3:B10"/>
    <mergeCell ref="I11:I12"/>
    <mergeCell ref="J11:J1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6" zoomScale="70" zoomScaleNormal="70" workbookViewId="0">
      <selection activeCell="B24" sqref="B24:B26"/>
    </sheetView>
  </sheetViews>
  <sheetFormatPr defaultRowHeight="16.5"/>
  <cols>
    <col min="1" max="1" width="5.5" style="1" customWidth="1"/>
    <col min="2" max="2" width="13.25" style="1" customWidth="1"/>
    <col min="3" max="3" width="12.25" customWidth="1"/>
    <col min="4" max="4" width="6.375" style="111" customWidth="1"/>
    <col min="5" max="5" width="9.375" customWidth="1"/>
    <col min="6" max="6" width="5.5" style="116" customWidth="1"/>
    <col min="7" max="7" width="6.625" style="116" customWidth="1"/>
    <col min="8" max="8" width="9.75" style="80" customWidth="1"/>
    <col min="9" max="9" width="10.125" style="80" bestFit="1" customWidth="1"/>
    <col min="10" max="10" width="6.625" style="80" customWidth="1"/>
    <col min="11" max="11" width="8.375" style="80" customWidth="1"/>
  </cols>
  <sheetData>
    <row r="1" spans="1:11" ht="39.950000000000003" customHeight="1">
      <c r="A1" s="544" t="s">
        <v>186</v>
      </c>
      <c r="B1" s="544"/>
      <c r="C1" s="167" t="s">
        <v>187</v>
      </c>
      <c r="D1" s="112"/>
      <c r="E1" s="168" t="s">
        <v>188</v>
      </c>
      <c r="F1" s="504" t="s">
        <v>150</v>
      </c>
      <c r="G1" s="504"/>
      <c r="H1" s="504"/>
      <c r="I1" s="504"/>
      <c r="J1" s="504"/>
      <c r="K1" s="504"/>
    </row>
    <row r="2" spans="1:11">
      <c r="A2" s="133" t="s">
        <v>16</v>
      </c>
      <c r="B2" s="120" t="s">
        <v>17</v>
      </c>
      <c r="C2" s="2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58" t="s">
        <v>0</v>
      </c>
      <c r="B3" s="500" t="s">
        <v>145</v>
      </c>
      <c r="C3" s="74" t="s">
        <v>44</v>
      </c>
      <c r="D3" s="136" t="s">
        <v>46</v>
      </c>
      <c r="E3" s="7"/>
      <c r="F3" s="117" t="s">
        <v>88</v>
      </c>
      <c r="G3" s="252">
        <v>1</v>
      </c>
      <c r="H3" s="221">
        <f>G3*2</f>
        <v>2</v>
      </c>
      <c r="I3" s="221">
        <f>G3*15</f>
        <v>15</v>
      </c>
      <c r="J3" s="221">
        <f>G3*0</f>
        <v>0</v>
      </c>
      <c r="K3" s="221">
        <f>H3*4+I3*4+J3*9</f>
        <v>68</v>
      </c>
    </row>
    <row r="4" spans="1:11">
      <c r="A4" s="483"/>
      <c r="B4" s="500"/>
      <c r="C4" s="74" t="s">
        <v>382</v>
      </c>
      <c r="D4" s="2">
        <v>5</v>
      </c>
      <c r="E4" s="7">
        <f>D4*D$1/1000</f>
        <v>0</v>
      </c>
      <c r="F4" s="119" t="s">
        <v>24</v>
      </c>
      <c r="G4" s="252"/>
      <c r="H4" s="278"/>
      <c r="I4" s="252">
        <f>D4</f>
        <v>5</v>
      </c>
      <c r="J4" s="278"/>
      <c r="K4" s="221">
        <f>H4*4+I4*4+J4*9</f>
        <v>20</v>
      </c>
    </row>
    <row r="5" spans="1:11">
      <c r="A5" s="483"/>
      <c r="B5" s="458" t="s">
        <v>82</v>
      </c>
      <c r="C5" s="74" t="s">
        <v>383</v>
      </c>
      <c r="D5" s="2">
        <v>15</v>
      </c>
      <c r="E5" s="7">
        <f t="shared" ref="E5:E31" si="0">D5*D$1/1000</f>
        <v>0</v>
      </c>
      <c r="F5" s="117" t="s">
        <v>88</v>
      </c>
      <c r="G5" s="252">
        <f>D5/50</f>
        <v>0.3</v>
      </c>
      <c r="H5" s="221">
        <f>G5*2</f>
        <v>0.6</v>
      </c>
      <c r="I5" s="221">
        <f>G5*15</f>
        <v>4.5</v>
      </c>
      <c r="J5" s="221">
        <f>G5*0</f>
        <v>0</v>
      </c>
      <c r="K5" s="221">
        <f t="shared" ref="K5:K13" si="1">H5*4+I5*4+J5*9</f>
        <v>20.399999999999999</v>
      </c>
    </row>
    <row r="6" spans="1:11">
      <c r="A6" s="483"/>
      <c r="B6" s="459"/>
      <c r="C6" s="105" t="s">
        <v>345</v>
      </c>
      <c r="D6" s="140">
        <v>15</v>
      </c>
      <c r="E6" s="7">
        <f t="shared" si="0"/>
        <v>0</v>
      </c>
      <c r="F6" s="117" t="s">
        <v>75</v>
      </c>
      <c r="G6" s="221">
        <f>D6/30</f>
        <v>0.5</v>
      </c>
      <c r="H6" s="221">
        <f>G6*8</f>
        <v>4</v>
      </c>
      <c r="I6" s="221">
        <f>G6*12</f>
        <v>6</v>
      </c>
      <c r="J6" s="221">
        <f>G6*8</f>
        <v>4</v>
      </c>
      <c r="K6" s="221">
        <f t="shared" si="1"/>
        <v>76</v>
      </c>
    </row>
    <row r="7" spans="1:11">
      <c r="A7" s="483"/>
      <c r="B7" s="459"/>
      <c r="C7" s="74" t="s">
        <v>184</v>
      </c>
      <c r="D7" s="2">
        <v>15</v>
      </c>
      <c r="E7" s="7">
        <f t="shared" si="0"/>
        <v>0</v>
      </c>
      <c r="F7" s="117" t="s">
        <v>112</v>
      </c>
      <c r="G7" s="252">
        <f>D7/55</f>
        <v>0.27272727272727271</v>
      </c>
      <c r="H7" s="252">
        <f>G7*7</f>
        <v>1.9090909090909089</v>
      </c>
      <c r="I7" s="252"/>
      <c r="J7" s="252">
        <f>G7*5</f>
        <v>1.3636363636363635</v>
      </c>
      <c r="K7" s="221">
        <f t="shared" si="1"/>
        <v>19.909090909090907</v>
      </c>
    </row>
    <row r="8" spans="1:11">
      <c r="A8" s="483"/>
      <c r="B8" s="459"/>
      <c r="C8" s="74" t="s">
        <v>384</v>
      </c>
      <c r="D8" s="2">
        <v>8</v>
      </c>
      <c r="E8" s="7">
        <f t="shared" si="0"/>
        <v>0</v>
      </c>
      <c r="F8" s="117" t="s">
        <v>112</v>
      </c>
      <c r="G8" s="252">
        <f>D8/45</f>
        <v>0.17777777777777778</v>
      </c>
      <c r="H8" s="252">
        <f>G8*7</f>
        <v>1.2444444444444445</v>
      </c>
      <c r="I8" s="252">
        <f>G8*5</f>
        <v>0.88888888888888895</v>
      </c>
      <c r="J8" s="252">
        <f>G8*3</f>
        <v>0.53333333333333333</v>
      </c>
      <c r="K8" s="221">
        <f t="shared" si="1"/>
        <v>13.333333333333332</v>
      </c>
    </row>
    <row r="9" spans="1:11">
      <c r="A9" s="483"/>
      <c r="B9" s="459"/>
      <c r="C9" s="74" t="s">
        <v>223</v>
      </c>
      <c r="D9" s="2">
        <v>8</v>
      </c>
      <c r="E9" s="7">
        <f t="shared" si="0"/>
        <v>0</v>
      </c>
      <c r="F9" s="117" t="s">
        <v>88</v>
      </c>
      <c r="G9" s="252">
        <f>D9/90</f>
        <v>8.8888888888888892E-2</v>
      </c>
      <c r="H9" s="221">
        <f>G9*2</f>
        <v>0.17777777777777778</v>
      </c>
      <c r="I9" s="221">
        <f>G9*15</f>
        <v>1.3333333333333335</v>
      </c>
      <c r="J9" s="221">
        <f>G9*0</f>
        <v>0</v>
      </c>
      <c r="K9" s="221">
        <f t="shared" si="1"/>
        <v>6.0444444444444452</v>
      </c>
    </row>
    <row r="10" spans="1:11">
      <c r="A10" s="483"/>
      <c r="B10" s="459"/>
      <c r="C10" s="74" t="s">
        <v>53</v>
      </c>
      <c r="D10" s="2">
        <v>5</v>
      </c>
      <c r="E10" s="7">
        <f t="shared" si="0"/>
        <v>0</v>
      </c>
      <c r="F10" s="117" t="s">
        <v>81</v>
      </c>
      <c r="G10" s="221">
        <f>D10/100</f>
        <v>0.05</v>
      </c>
      <c r="H10" s="221">
        <f>1*G10</f>
        <v>0.05</v>
      </c>
      <c r="I10" s="221">
        <f>G10*5</f>
        <v>0.25</v>
      </c>
      <c r="J10" s="221">
        <f>0</f>
        <v>0</v>
      </c>
      <c r="K10" s="221">
        <f t="shared" si="1"/>
        <v>1.2</v>
      </c>
    </row>
    <row r="11" spans="1:11">
      <c r="A11" s="545"/>
      <c r="B11" s="460"/>
      <c r="C11" s="74" t="s">
        <v>35</v>
      </c>
      <c r="D11" s="2">
        <v>1</v>
      </c>
      <c r="E11" s="7">
        <f t="shared" si="0"/>
        <v>0</v>
      </c>
      <c r="F11" s="119" t="s">
        <v>24</v>
      </c>
      <c r="G11" s="221"/>
      <c r="H11" s="221"/>
      <c r="I11" s="221"/>
      <c r="J11" s="221"/>
      <c r="K11" s="221"/>
    </row>
    <row r="12" spans="1:11">
      <c r="A12" s="500" t="s">
        <v>1</v>
      </c>
      <c r="B12" s="187" t="s">
        <v>487</v>
      </c>
      <c r="C12" s="13" t="s">
        <v>28</v>
      </c>
      <c r="D12" s="47">
        <v>40</v>
      </c>
      <c r="E12" s="7">
        <f t="shared" si="0"/>
        <v>0</v>
      </c>
      <c r="F12" s="90" t="s">
        <v>88</v>
      </c>
      <c r="G12" s="251">
        <f>D12/20</f>
        <v>2</v>
      </c>
      <c r="H12" s="221">
        <f>G12*2</f>
        <v>4</v>
      </c>
      <c r="I12" s="221">
        <f>G12*15</f>
        <v>30</v>
      </c>
      <c r="J12" s="221">
        <f>G12*0</f>
        <v>0</v>
      </c>
      <c r="K12" s="221">
        <f t="shared" si="1"/>
        <v>136</v>
      </c>
    </row>
    <row r="13" spans="1:11">
      <c r="A13" s="500"/>
      <c r="B13" s="500" t="s">
        <v>176</v>
      </c>
      <c r="C13" s="74" t="s">
        <v>396</v>
      </c>
      <c r="D13" s="2">
        <v>60</v>
      </c>
      <c r="E13" s="7">
        <f t="shared" si="0"/>
        <v>0</v>
      </c>
      <c r="F13" s="117" t="s">
        <v>112</v>
      </c>
      <c r="G13" s="252">
        <f>D13/60</f>
        <v>1</v>
      </c>
      <c r="H13" s="252">
        <f>G13*7</f>
        <v>7</v>
      </c>
      <c r="I13" s="252"/>
      <c r="J13" s="252">
        <f>G13*3</f>
        <v>3</v>
      </c>
      <c r="K13" s="221">
        <f t="shared" si="1"/>
        <v>55</v>
      </c>
    </row>
    <row r="14" spans="1:11">
      <c r="A14" s="500"/>
      <c r="B14" s="500"/>
      <c r="C14" s="74" t="s">
        <v>72</v>
      </c>
      <c r="D14" s="2">
        <v>1</v>
      </c>
      <c r="E14" s="7">
        <f t="shared" si="0"/>
        <v>0</v>
      </c>
      <c r="F14" s="119" t="s">
        <v>24</v>
      </c>
      <c r="G14" s="252"/>
      <c r="H14" s="221"/>
      <c r="I14" s="221"/>
      <c r="J14" s="221"/>
      <c r="K14" s="221"/>
    </row>
    <row r="15" spans="1:11">
      <c r="A15" s="500"/>
      <c r="B15" s="500"/>
      <c r="C15" s="74" t="s">
        <v>34</v>
      </c>
      <c r="D15" s="2">
        <v>1</v>
      </c>
      <c r="E15" s="7">
        <f t="shared" si="0"/>
        <v>0</v>
      </c>
      <c r="F15" s="119" t="s">
        <v>24</v>
      </c>
      <c r="G15" s="221"/>
      <c r="H15" s="221"/>
      <c r="I15" s="221"/>
      <c r="J15" s="221"/>
      <c r="K15" s="221"/>
    </row>
    <row r="16" spans="1:11">
      <c r="A16" s="500"/>
      <c r="B16" s="500"/>
      <c r="C16" s="74" t="s">
        <v>38</v>
      </c>
      <c r="D16" s="2">
        <v>3</v>
      </c>
      <c r="E16" s="7">
        <f t="shared" si="0"/>
        <v>0</v>
      </c>
      <c r="F16" s="119" t="s">
        <v>24</v>
      </c>
      <c r="G16" s="221"/>
      <c r="H16" s="221"/>
      <c r="I16" s="221"/>
      <c r="J16" s="221"/>
      <c r="K16" s="221"/>
    </row>
    <row r="17" spans="1:11">
      <c r="A17" s="500"/>
      <c r="B17" s="500"/>
      <c r="C17" s="74" t="s">
        <v>64</v>
      </c>
      <c r="D17" s="141">
        <v>3</v>
      </c>
      <c r="E17" s="7">
        <f t="shared" si="0"/>
        <v>0</v>
      </c>
      <c r="F17" s="186" t="s">
        <v>110</v>
      </c>
      <c r="G17" s="221">
        <f>D17/5</f>
        <v>0.6</v>
      </c>
      <c r="H17" s="221">
        <f>0</f>
        <v>0</v>
      </c>
      <c r="I17" s="221">
        <f>G17*0</f>
        <v>0</v>
      </c>
      <c r="J17" s="221">
        <f>G17*5</f>
        <v>3</v>
      </c>
      <c r="K17" s="221">
        <f>H17*4+I17*4+J17*9</f>
        <v>27</v>
      </c>
    </row>
    <row r="18" spans="1:11">
      <c r="A18" s="500"/>
      <c r="B18" s="447" t="s">
        <v>177</v>
      </c>
      <c r="C18" s="138" t="s">
        <v>397</v>
      </c>
      <c r="D18" s="142">
        <v>35</v>
      </c>
      <c r="E18" s="7">
        <f t="shared" si="0"/>
        <v>0</v>
      </c>
      <c r="F18" s="117" t="s">
        <v>81</v>
      </c>
      <c r="G18" s="221">
        <f>D18/100</f>
        <v>0.35</v>
      </c>
      <c r="H18" s="221">
        <f>1*G18</f>
        <v>0.35</v>
      </c>
      <c r="I18" s="221">
        <f>G18*5</f>
        <v>1.75</v>
      </c>
      <c r="J18" s="221">
        <f>0</f>
        <v>0</v>
      </c>
      <c r="K18" s="221">
        <f>H18*4+I18*4+J18*9</f>
        <v>8.4</v>
      </c>
    </row>
    <row r="19" spans="1:11">
      <c r="A19" s="500"/>
      <c r="B19" s="447"/>
      <c r="C19" s="138" t="s">
        <v>21</v>
      </c>
      <c r="D19" s="142">
        <v>0.5</v>
      </c>
      <c r="E19" s="7">
        <f t="shared" si="0"/>
        <v>0</v>
      </c>
      <c r="F19" s="119" t="s">
        <v>24</v>
      </c>
      <c r="G19" s="252"/>
      <c r="H19" s="252"/>
      <c r="I19" s="252"/>
      <c r="J19" s="252"/>
      <c r="K19" s="252"/>
    </row>
    <row r="20" spans="1:11">
      <c r="A20" s="500"/>
      <c r="B20" s="447"/>
      <c r="C20" s="138" t="s">
        <v>19</v>
      </c>
      <c r="D20" s="142">
        <v>0.5</v>
      </c>
      <c r="E20" s="7">
        <f t="shared" si="0"/>
        <v>0</v>
      </c>
      <c r="F20" s="119" t="s">
        <v>24</v>
      </c>
      <c r="G20" s="252"/>
      <c r="H20" s="252"/>
      <c r="I20" s="252"/>
      <c r="J20" s="252"/>
      <c r="K20" s="252"/>
    </row>
    <row r="21" spans="1:11">
      <c r="A21" s="500"/>
      <c r="B21" s="447"/>
      <c r="C21" s="138" t="s">
        <v>52</v>
      </c>
      <c r="D21" s="2">
        <v>0.5</v>
      </c>
      <c r="E21" s="7">
        <f t="shared" si="0"/>
        <v>0</v>
      </c>
      <c r="F21" s="119" t="s">
        <v>24</v>
      </c>
      <c r="G21" s="252"/>
      <c r="H21" s="252"/>
      <c r="I21" s="252"/>
      <c r="J21" s="252"/>
      <c r="K21" s="252"/>
    </row>
    <row r="22" spans="1:11">
      <c r="A22" s="500"/>
      <c r="B22" s="447"/>
      <c r="C22" s="138" t="s">
        <v>398</v>
      </c>
      <c r="D22" s="2">
        <v>1</v>
      </c>
      <c r="E22" s="7">
        <f t="shared" si="0"/>
        <v>0</v>
      </c>
      <c r="F22" s="186" t="s">
        <v>110</v>
      </c>
      <c r="G22" s="221">
        <f>D22/5</f>
        <v>0.2</v>
      </c>
      <c r="H22" s="221">
        <f>0</f>
        <v>0</v>
      </c>
      <c r="I22" s="221">
        <f>G22*0</f>
        <v>0</v>
      </c>
      <c r="J22" s="221">
        <f>G22*5</f>
        <v>1</v>
      </c>
      <c r="K22" s="221">
        <f>H22*4+I22*4+J22*9</f>
        <v>9</v>
      </c>
    </row>
    <row r="23" spans="1:11">
      <c r="A23" s="500"/>
      <c r="B23" s="447"/>
      <c r="C23" s="138" t="s">
        <v>61</v>
      </c>
      <c r="D23" s="142">
        <v>3</v>
      </c>
      <c r="E23" s="7">
        <f t="shared" si="0"/>
        <v>0</v>
      </c>
      <c r="F23" s="186" t="s">
        <v>110</v>
      </c>
      <c r="G23" s="221">
        <f>D23/5</f>
        <v>0.6</v>
      </c>
      <c r="H23" s="221">
        <f>0</f>
        <v>0</v>
      </c>
      <c r="I23" s="221">
        <f>G23*0</f>
        <v>0</v>
      </c>
      <c r="J23" s="221">
        <f>G23*5</f>
        <v>3</v>
      </c>
      <c r="K23" s="221">
        <f>H23*4+I23*4+J23*9</f>
        <v>27</v>
      </c>
    </row>
    <row r="24" spans="1:11">
      <c r="A24" s="500"/>
      <c r="B24" s="440" t="s">
        <v>702</v>
      </c>
      <c r="C24" s="138" t="s">
        <v>399</v>
      </c>
      <c r="D24" s="142">
        <v>40</v>
      </c>
      <c r="E24" s="7">
        <f t="shared" si="0"/>
        <v>0</v>
      </c>
      <c r="F24" s="117" t="s">
        <v>81</v>
      </c>
      <c r="G24" s="221">
        <f>D24/100</f>
        <v>0.4</v>
      </c>
      <c r="H24" s="221">
        <f>1*G24</f>
        <v>0.4</v>
      </c>
      <c r="I24" s="221">
        <f>G24*5</f>
        <v>2</v>
      </c>
      <c r="J24" s="221">
        <f>0</f>
        <v>0</v>
      </c>
      <c r="K24" s="221">
        <f>H24*4+I24*4+J24*9</f>
        <v>9.6</v>
      </c>
    </row>
    <row r="25" spans="1:11">
      <c r="A25" s="500"/>
      <c r="B25" s="434"/>
      <c r="C25" s="138" t="s">
        <v>52</v>
      </c>
      <c r="D25" s="142">
        <v>0.5</v>
      </c>
      <c r="E25" s="7">
        <f t="shared" si="0"/>
        <v>0</v>
      </c>
      <c r="F25" s="143" t="s">
        <v>24</v>
      </c>
      <c r="G25" s="252"/>
      <c r="H25" s="252"/>
      <c r="I25" s="252"/>
      <c r="J25" s="252"/>
      <c r="K25" s="252"/>
    </row>
    <row r="26" spans="1:11">
      <c r="A26" s="500"/>
      <c r="B26" s="435"/>
      <c r="C26" s="138" t="s">
        <v>61</v>
      </c>
      <c r="D26" s="142">
        <v>3</v>
      </c>
      <c r="E26" s="7">
        <f t="shared" si="0"/>
        <v>0</v>
      </c>
      <c r="F26" s="186" t="s">
        <v>110</v>
      </c>
      <c r="G26" s="221">
        <f>D26/5</f>
        <v>0.6</v>
      </c>
      <c r="H26" s="221">
        <f>0</f>
        <v>0</v>
      </c>
      <c r="I26" s="221">
        <f>G26*0</f>
        <v>0</v>
      </c>
      <c r="J26" s="221">
        <f>G26*5</f>
        <v>3</v>
      </c>
      <c r="K26" s="221">
        <f t="shared" ref="K26:K32" si="2">H26*4+I26*4+J26*9</f>
        <v>27</v>
      </c>
    </row>
    <row r="27" spans="1:11" s="182" customFormat="1">
      <c r="A27" s="500"/>
      <c r="B27" s="447" t="s">
        <v>178</v>
      </c>
      <c r="C27" s="138" t="s">
        <v>400</v>
      </c>
      <c r="D27" s="142">
        <v>8</v>
      </c>
      <c r="E27" s="7">
        <f t="shared" si="0"/>
        <v>0</v>
      </c>
      <c r="F27" s="117" t="s">
        <v>88</v>
      </c>
      <c r="G27" s="252">
        <f>D27/60</f>
        <v>0.13333333333333333</v>
      </c>
      <c r="H27" s="221">
        <f>G27*2</f>
        <v>0.26666666666666666</v>
      </c>
      <c r="I27" s="221">
        <f>G27*15</f>
        <v>2</v>
      </c>
      <c r="J27" s="221"/>
      <c r="K27" s="221">
        <f t="shared" si="2"/>
        <v>9.0666666666666664</v>
      </c>
    </row>
    <row r="28" spans="1:11" s="182" customFormat="1">
      <c r="A28" s="500"/>
      <c r="B28" s="447"/>
      <c r="C28" s="138" t="s">
        <v>401</v>
      </c>
      <c r="D28" s="142">
        <v>20</v>
      </c>
      <c r="E28" s="7">
        <f t="shared" si="0"/>
        <v>0</v>
      </c>
      <c r="F28" s="144" t="s">
        <v>112</v>
      </c>
      <c r="G28" s="252">
        <f>D28/35</f>
        <v>0.5714285714285714</v>
      </c>
      <c r="H28" s="252">
        <f>G28*7</f>
        <v>4</v>
      </c>
      <c r="I28" s="252"/>
      <c r="J28" s="252">
        <f>G28*5</f>
        <v>2.8571428571428568</v>
      </c>
      <c r="K28" s="221">
        <f t="shared" si="2"/>
        <v>41.714285714285708</v>
      </c>
    </row>
    <row r="29" spans="1:11" s="182" customFormat="1">
      <c r="A29" s="458" t="s">
        <v>2</v>
      </c>
      <c r="B29" s="500" t="s">
        <v>660</v>
      </c>
      <c r="C29" s="138" t="s">
        <v>402</v>
      </c>
      <c r="D29" s="142">
        <v>8</v>
      </c>
      <c r="E29" s="7">
        <f t="shared" si="0"/>
        <v>0</v>
      </c>
      <c r="F29" s="117" t="s">
        <v>88</v>
      </c>
      <c r="G29" s="252">
        <f>D29/25</f>
        <v>0.32</v>
      </c>
      <c r="H29" s="221">
        <f>G29*2</f>
        <v>0.64</v>
      </c>
      <c r="I29" s="221">
        <f>G29*15</f>
        <v>4.8</v>
      </c>
      <c r="J29" s="221">
        <f>G29*0</f>
        <v>0</v>
      </c>
      <c r="K29" s="221">
        <f t="shared" si="2"/>
        <v>21.759999999999998</v>
      </c>
    </row>
    <row r="30" spans="1:11" s="182" customFormat="1">
      <c r="A30" s="459"/>
      <c r="B30" s="500"/>
      <c r="C30" s="138" t="s">
        <v>403</v>
      </c>
      <c r="D30" s="142">
        <v>8</v>
      </c>
      <c r="E30" s="7">
        <f t="shared" si="0"/>
        <v>0</v>
      </c>
      <c r="F30" s="117" t="s">
        <v>88</v>
      </c>
      <c r="G30" s="252">
        <f>D30/20</f>
        <v>0.4</v>
      </c>
      <c r="H30" s="221">
        <f>G30*2</f>
        <v>0.8</v>
      </c>
      <c r="I30" s="221">
        <f>G30*15</f>
        <v>6</v>
      </c>
      <c r="J30" s="221">
        <f>G30*0</f>
        <v>0</v>
      </c>
      <c r="K30" s="221">
        <f t="shared" si="2"/>
        <v>27.2</v>
      </c>
    </row>
    <row r="31" spans="1:11">
      <c r="A31" s="459"/>
      <c r="B31" s="500"/>
      <c r="C31" s="297" t="s">
        <v>504</v>
      </c>
      <c r="D31" s="142">
        <v>5</v>
      </c>
      <c r="E31" s="7">
        <f t="shared" si="0"/>
        <v>0</v>
      </c>
      <c r="F31" s="119" t="s">
        <v>24</v>
      </c>
      <c r="G31" s="252"/>
      <c r="H31" s="252"/>
      <c r="I31" s="252">
        <f>D31</f>
        <v>5</v>
      </c>
      <c r="J31" s="252"/>
      <c r="K31" s="221">
        <f t="shared" si="2"/>
        <v>20</v>
      </c>
    </row>
    <row r="32" spans="1:11">
      <c r="A32" s="460"/>
      <c r="B32" s="2" t="s">
        <v>661</v>
      </c>
      <c r="C32" s="14" t="s">
        <v>634</v>
      </c>
      <c r="D32" s="190"/>
      <c r="E32" s="7"/>
      <c r="F32" s="186" t="s">
        <v>8</v>
      </c>
      <c r="G32" s="282">
        <v>1</v>
      </c>
      <c r="H32" s="282">
        <f>G32*0</f>
        <v>0</v>
      </c>
      <c r="I32" s="282">
        <f>G32*15</f>
        <v>15</v>
      </c>
      <c r="J32" s="282">
        <f>G32*0</f>
        <v>0</v>
      </c>
      <c r="K32" s="282">
        <f t="shared" si="2"/>
        <v>60</v>
      </c>
    </row>
    <row r="33" spans="1:11" ht="21">
      <c r="A33" s="487" t="s">
        <v>499</v>
      </c>
      <c r="B33" s="487"/>
      <c r="C33" s="234"/>
      <c r="D33" s="235"/>
      <c r="E33" s="235"/>
      <c r="F33" s="236"/>
      <c r="G33" s="236"/>
      <c r="H33" s="237">
        <f>SUM(H3:H32)</f>
        <v>27.437979797979796</v>
      </c>
      <c r="I33" s="237">
        <f>SUM(I3:I32)</f>
        <v>99.522222222222226</v>
      </c>
      <c r="J33" s="237">
        <f>SUM(J3:J32)</f>
        <v>21.754112554112556</v>
      </c>
      <c r="K33" s="299">
        <f>H33*4+I33*4+J33*9</f>
        <v>703.62782106782106</v>
      </c>
    </row>
    <row r="34" spans="1:11" ht="19.5">
      <c r="A34" s="461" t="s">
        <v>537</v>
      </c>
      <c r="B34" s="462"/>
      <c r="C34" s="261"/>
      <c r="D34" s="261"/>
      <c r="E34" s="261"/>
      <c r="F34" s="262"/>
      <c r="G34" s="262"/>
      <c r="H34" s="257">
        <f>+H33*4/K33</f>
        <v>0.15598007342199799</v>
      </c>
      <c r="I34" s="257">
        <f>+I33*4/K33</f>
        <v>0.56576627155639148</v>
      </c>
      <c r="J34" s="257">
        <f>+J33*9/K33</f>
        <v>0.27825365502161059</v>
      </c>
      <c r="K34" s="257">
        <f>+H34+I34+J34</f>
        <v>1</v>
      </c>
    </row>
  </sheetData>
  <mergeCells count="14">
    <mergeCell ref="A33:B33"/>
    <mergeCell ref="A34:B34"/>
    <mergeCell ref="B18:B23"/>
    <mergeCell ref="B24:B26"/>
    <mergeCell ref="B27:B28"/>
    <mergeCell ref="B29:B31"/>
    <mergeCell ref="A29:A32"/>
    <mergeCell ref="A12:A28"/>
    <mergeCell ref="B13:B17"/>
    <mergeCell ref="A1:B1"/>
    <mergeCell ref="F1:K1"/>
    <mergeCell ref="B3:B4"/>
    <mergeCell ref="B5:B11"/>
    <mergeCell ref="A3:A11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" zoomScale="70" zoomScaleNormal="70" workbookViewId="0">
      <selection activeCell="B14" sqref="B14:B15"/>
    </sheetView>
  </sheetViews>
  <sheetFormatPr defaultRowHeight="16.5"/>
  <cols>
    <col min="1" max="1" width="5.5" customWidth="1"/>
    <col min="2" max="2" width="13.875" style="5" customWidth="1"/>
    <col min="3" max="3" width="12.25" customWidth="1"/>
    <col min="4" max="4" width="6.375" customWidth="1"/>
    <col min="5" max="5" width="9.375" customWidth="1"/>
    <col min="6" max="6" width="5.5" style="116" customWidth="1"/>
    <col min="7" max="7" width="6.625" style="116" customWidth="1"/>
    <col min="8" max="8" width="9.75" style="116" customWidth="1"/>
    <col min="9" max="9" width="9" style="116"/>
    <col min="10" max="10" width="6.625" style="116" customWidth="1"/>
    <col min="11" max="11" width="8.375" style="116" customWidth="1"/>
  </cols>
  <sheetData>
    <row r="1" spans="1:11" ht="39.950000000000003" customHeight="1">
      <c r="A1" s="544" t="s">
        <v>186</v>
      </c>
      <c r="B1" s="544"/>
      <c r="C1" s="167" t="s">
        <v>187</v>
      </c>
      <c r="D1" s="112"/>
      <c r="E1" s="168" t="s">
        <v>188</v>
      </c>
      <c r="F1" s="504" t="s">
        <v>150</v>
      </c>
      <c r="G1" s="504"/>
      <c r="H1" s="504"/>
      <c r="I1" s="504"/>
      <c r="J1" s="504"/>
      <c r="K1" s="504"/>
    </row>
    <row r="2" spans="1:11">
      <c r="A2" s="133" t="s">
        <v>16</v>
      </c>
      <c r="B2" s="120" t="s">
        <v>17</v>
      </c>
      <c r="C2" s="2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58" t="s">
        <v>0</v>
      </c>
      <c r="B3" s="3" t="s">
        <v>392</v>
      </c>
      <c r="C3" s="146" t="s">
        <v>392</v>
      </c>
      <c r="D3" s="136" t="s">
        <v>246</v>
      </c>
      <c r="E3" s="7"/>
      <c r="F3" s="119" t="s">
        <v>24</v>
      </c>
      <c r="G3" s="117"/>
      <c r="H3" s="221">
        <f>7.4*0.6</f>
        <v>4.4400000000000004</v>
      </c>
      <c r="I3" s="251">
        <f>5*0.6</f>
        <v>3</v>
      </c>
      <c r="J3" s="221">
        <f>G3*0</f>
        <v>0</v>
      </c>
      <c r="K3" s="221">
        <f t="shared" ref="K3:K23" si="0">H3*4+I3*4+J3*9</f>
        <v>29.76</v>
      </c>
    </row>
    <row r="4" spans="1:11">
      <c r="A4" s="459"/>
      <c r="B4" s="458" t="s">
        <v>579</v>
      </c>
      <c r="C4" s="74" t="s">
        <v>393</v>
      </c>
      <c r="D4" s="2">
        <v>120</v>
      </c>
      <c r="E4" s="7">
        <f>D4*D$1/1000</f>
        <v>0</v>
      </c>
      <c r="F4" s="139" t="s">
        <v>112</v>
      </c>
      <c r="G4" s="252">
        <f>D4/190</f>
        <v>0.63157894736842102</v>
      </c>
      <c r="H4" s="252">
        <f>G4*7</f>
        <v>4.4210526315789469</v>
      </c>
      <c r="I4" s="252"/>
      <c r="J4" s="252">
        <f>G4*5</f>
        <v>3.1578947368421053</v>
      </c>
      <c r="K4" s="221">
        <f t="shared" si="0"/>
        <v>46.10526315789474</v>
      </c>
    </row>
    <row r="5" spans="1:11">
      <c r="A5" s="460"/>
      <c r="B5" s="460"/>
      <c r="C5" s="74" t="s">
        <v>394</v>
      </c>
      <c r="D5" s="2">
        <v>120</v>
      </c>
      <c r="E5" s="7">
        <f t="shared" ref="E5:E23" si="1">D5*D$1/1000</f>
        <v>0</v>
      </c>
      <c r="F5" s="119" t="s">
        <v>24</v>
      </c>
      <c r="G5" s="252"/>
      <c r="H5" s="221">
        <f>1.3*1.2</f>
        <v>1.56</v>
      </c>
      <c r="I5" s="221">
        <f>11.9*1.2</f>
        <v>14.28</v>
      </c>
      <c r="J5" s="221">
        <f>2*1.2</f>
        <v>2.4</v>
      </c>
      <c r="K5" s="221">
        <f t="shared" si="0"/>
        <v>84.96</v>
      </c>
    </row>
    <row r="6" spans="1:11">
      <c r="A6" s="458" t="s">
        <v>1</v>
      </c>
      <c r="B6" s="546" t="s">
        <v>843</v>
      </c>
      <c r="C6" s="108" t="s">
        <v>336</v>
      </c>
      <c r="D6" s="195">
        <v>40</v>
      </c>
      <c r="E6" s="7">
        <f t="shared" si="1"/>
        <v>0</v>
      </c>
      <c r="F6" s="76" t="s">
        <v>88</v>
      </c>
      <c r="G6" s="302">
        <f>D6/20</f>
        <v>2</v>
      </c>
      <c r="H6" s="221">
        <f>G6*2</f>
        <v>4</v>
      </c>
      <c r="I6" s="221">
        <f>G6*15</f>
        <v>30</v>
      </c>
      <c r="J6" s="221">
        <v>0</v>
      </c>
      <c r="K6" s="221">
        <f t="shared" si="0"/>
        <v>136</v>
      </c>
    </row>
    <row r="7" spans="1:11">
      <c r="A7" s="459"/>
      <c r="B7" s="510"/>
      <c r="C7" s="108" t="s">
        <v>252</v>
      </c>
      <c r="D7" s="195">
        <v>15</v>
      </c>
      <c r="E7" s="7">
        <f t="shared" si="1"/>
        <v>0</v>
      </c>
      <c r="F7" s="106" t="s">
        <v>24</v>
      </c>
      <c r="G7" s="278"/>
      <c r="H7" s="278"/>
      <c r="I7" s="278"/>
      <c r="J7" s="278"/>
      <c r="K7" s="221">
        <f t="shared" si="0"/>
        <v>0</v>
      </c>
    </row>
    <row r="8" spans="1:11">
      <c r="A8" s="459"/>
      <c r="B8" s="510"/>
      <c r="C8" s="108" t="s">
        <v>339</v>
      </c>
      <c r="D8" s="195">
        <v>5</v>
      </c>
      <c r="E8" s="7">
        <f t="shared" si="1"/>
        <v>0</v>
      </c>
      <c r="F8" s="106" t="s">
        <v>24</v>
      </c>
      <c r="G8" s="278"/>
      <c r="H8" s="278"/>
      <c r="I8" s="278"/>
      <c r="J8" s="278"/>
      <c r="K8" s="221">
        <f t="shared" si="0"/>
        <v>0</v>
      </c>
    </row>
    <row r="9" spans="1:11">
      <c r="A9" s="459"/>
      <c r="B9" s="510"/>
      <c r="C9" s="108" t="s">
        <v>113</v>
      </c>
      <c r="D9" s="195">
        <v>25</v>
      </c>
      <c r="E9" s="7">
        <f t="shared" si="1"/>
        <v>0</v>
      </c>
      <c r="F9" s="76" t="s">
        <v>81</v>
      </c>
      <c r="G9" s="243">
        <f>D9/100</f>
        <v>0.25</v>
      </c>
      <c r="H9" s="243">
        <f>1*G9</f>
        <v>0.25</v>
      </c>
      <c r="I9" s="243">
        <f>G9*5</f>
        <v>1.25</v>
      </c>
      <c r="J9" s="243">
        <f>0</f>
        <v>0</v>
      </c>
      <c r="K9" s="243">
        <f t="shared" si="0"/>
        <v>6</v>
      </c>
    </row>
    <row r="10" spans="1:11">
      <c r="A10" s="459"/>
      <c r="B10" s="510"/>
      <c r="C10" s="108" t="s">
        <v>302</v>
      </c>
      <c r="D10" s="195">
        <v>5</v>
      </c>
      <c r="E10" s="7">
        <f t="shared" si="1"/>
        <v>0</v>
      </c>
      <c r="F10" s="76" t="s">
        <v>88</v>
      </c>
      <c r="G10" s="221">
        <f>D10/70</f>
        <v>7.1428571428571425E-2</v>
      </c>
      <c r="H10" s="221">
        <f>G10*2</f>
        <v>0.14285714285714285</v>
      </c>
      <c r="I10" s="221">
        <f>G10*15</f>
        <v>1.0714285714285714</v>
      </c>
      <c r="J10" s="221">
        <f>0</f>
        <v>0</v>
      </c>
      <c r="K10" s="221">
        <f t="shared" si="0"/>
        <v>4.8571428571428568</v>
      </c>
    </row>
    <row r="11" spans="1:11">
      <c r="A11" s="459"/>
      <c r="B11" s="510"/>
      <c r="C11" s="108" t="s">
        <v>340</v>
      </c>
      <c r="D11" s="195">
        <v>5</v>
      </c>
      <c r="E11" s="7">
        <f t="shared" si="1"/>
        <v>0</v>
      </c>
      <c r="F11" s="76" t="s">
        <v>81</v>
      </c>
      <c r="G11" s="221">
        <f>D11/100</f>
        <v>0.05</v>
      </c>
      <c r="H11" s="221">
        <f t="shared" ref="H11:H13" si="2">1*G11</f>
        <v>0.05</v>
      </c>
      <c r="I11" s="221">
        <f>G11*5</f>
        <v>0.25</v>
      </c>
      <c r="J11" s="221">
        <f>0</f>
        <v>0</v>
      </c>
      <c r="K11" s="221">
        <f t="shared" si="0"/>
        <v>1.2</v>
      </c>
    </row>
    <row r="12" spans="1:11">
      <c r="A12" s="459"/>
      <c r="B12" s="510"/>
      <c r="C12" s="108" t="s">
        <v>323</v>
      </c>
      <c r="D12" s="195">
        <v>5</v>
      </c>
      <c r="E12" s="7">
        <f t="shared" si="1"/>
        <v>0</v>
      </c>
      <c r="F12" s="76" t="s">
        <v>112</v>
      </c>
      <c r="G12" s="221">
        <f>D12/35</f>
        <v>0.14285714285714285</v>
      </c>
      <c r="H12" s="221">
        <f>7*G12</f>
        <v>1</v>
      </c>
      <c r="I12" s="221">
        <f>G12*0</f>
        <v>0</v>
      </c>
      <c r="J12" s="221">
        <f>G12*5</f>
        <v>0.71428571428571419</v>
      </c>
      <c r="K12" s="221">
        <f t="shared" si="0"/>
        <v>10.428571428571427</v>
      </c>
    </row>
    <row r="13" spans="1:11">
      <c r="A13" s="459"/>
      <c r="B13" s="509"/>
      <c r="C13" s="109" t="s">
        <v>53</v>
      </c>
      <c r="D13" s="194">
        <v>8</v>
      </c>
      <c r="E13" s="7">
        <f t="shared" si="1"/>
        <v>0</v>
      </c>
      <c r="F13" s="76" t="s">
        <v>81</v>
      </c>
      <c r="G13" s="246">
        <f>D13/100</f>
        <v>0.08</v>
      </c>
      <c r="H13" s="246">
        <f t="shared" si="2"/>
        <v>0.08</v>
      </c>
      <c r="I13" s="246">
        <f>G13*5</f>
        <v>0.4</v>
      </c>
      <c r="J13" s="246">
        <f>0</f>
        <v>0</v>
      </c>
      <c r="K13" s="246">
        <f t="shared" si="0"/>
        <v>1.9200000000000002</v>
      </c>
    </row>
    <row r="14" spans="1:11" s="182" customFormat="1">
      <c r="A14" s="459"/>
      <c r="B14" s="529" t="s">
        <v>582</v>
      </c>
      <c r="C14" s="293" t="s">
        <v>580</v>
      </c>
      <c r="D14" s="194">
        <v>25</v>
      </c>
      <c r="E14" s="7">
        <f t="shared" si="1"/>
        <v>0</v>
      </c>
      <c r="F14" s="76" t="s">
        <v>112</v>
      </c>
      <c r="G14" s="221">
        <f>D14/35</f>
        <v>0.7142857142857143</v>
      </c>
      <c r="H14" s="221">
        <f>7*G14</f>
        <v>5</v>
      </c>
      <c r="I14" s="221">
        <f>G14*0</f>
        <v>0</v>
      </c>
      <c r="J14" s="221">
        <f>G14*5</f>
        <v>3.5714285714285716</v>
      </c>
      <c r="K14" s="221">
        <f t="shared" ref="K14:K15" si="3">H14*4+I14*4+J14*9</f>
        <v>52.142857142857146</v>
      </c>
    </row>
    <row r="15" spans="1:11" s="182" customFormat="1">
      <c r="A15" s="459"/>
      <c r="B15" s="510"/>
      <c r="C15" s="293" t="s">
        <v>581</v>
      </c>
      <c r="D15" s="194">
        <v>1</v>
      </c>
      <c r="E15" s="7">
        <f t="shared" si="1"/>
        <v>0</v>
      </c>
      <c r="F15" s="76" t="s">
        <v>110</v>
      </c>
      <c r="G15" s="221">
        <f>D15/5</f>
        <v>0.2</v>
      </c>
      <c r="H15" s="221">
        <v>0</v>
      </c>
      <c r="I15" s="221">
        <v>0</v>
      </c>
      <c r="J15" s="221">
        <f>G15*5</f>
        <v>1</v>
      </c>
      <c r="K15" s="221">
        <f t="shared" si="3"/>
        <v>9</v>
      </c>
    </row>
    <row r="16" spans="1:11">
      <c r="A16" s="459"/>
      <c r="B16" s="536" t="s">
        <v>347</v>
      </c>
      <c r="C16" s="108" t="s">
        <v>127</v>
      </c>
      <c r="D16" s="195">
        <v>25</v>
      </c>
      <c r="E16" s="7">
        <f t="shared" si="1"/>
        <v>0</v>
      </c>
      <c r="F16" s="76" t="s">
        <v>88</v>
      </c>
      <c r="G16" s="221">
        <f>D16/85</f>
        <v>0.29411764705882354</v>
      </c>
      <c r="H16" s="221">
        <f>G16*2</f>
        <v>0.58823529411764708</v>
      </c>
      <c r="I16" s="221">
        <f>G16*15</f>
        <v>4.4117647058823533</v>
      </c>
      <c r="J16" s="221">
        <v>0</v>
      </c>
      <c r="K16" s="221">
        <f t="shared" si="0"/>
        <v>20</v>
      </c>
    </row>
    <row r="17" spans="1:11">
      <c r="A17" s="459"/>
      <c r="B17" s="536"/>
      <c r="C17" s="108" t="s">
        <v>343</v>
      </c>
      <c r="D17" s="195">
        <v>35</v>
      </c>
      <c r="E17" s="7">
        <f t="shared" si="1"/>
        <v>0</v>
      </c>
      <c r="F17" s="76" t="s">
        <v>81</v>
      </c>
      <c r="G17" s="221">
        <f>D17/100</f>
        <v>0.35</v>
      </c>
      <c r="H17" s="221">
        <f t="shared" ref="H17:H18" si="4">1*G17</f>
        <v>0.35</v>
      </c>
      <c r="I17" s="221">
        <f>G17*5</f>
        <v>1.75</v>
      </c>
      <c r="J17" s="221">
        <f>0</f>
        <v>0</v>
      </c>
      <c r="K17" s="221">
        <f t="shared" si="0"/>
        <v>8.4</v>
      </c>
    </row>
    <row r="18" spans="1:11">
      <c r="A18" s="459"/>
      <c r="B18" s="536"/>
      <c r="C18" s="108" t="s">
        <v>224</v>
      </c>
      <c r="D18" s="195">
        <v>5</v>
      </c>
      <c r="E18" s="7">
        <f t="shared" si="1"/>
        <v>0</v>
      </c>
      <c r="F18" s="76" t="s">
        <v>81</v>
      </c>
      <c r="G18" s="221">
        <f>D18/100</f>
        <v>0.05</v>
      </c>
      <c r="H18" s="221">
        <f t="shared" si="4"/>
        <v>0.05</v>
      </c>
      <c r="I18" s="221">
        <f>G18*5</f>
        <v>0.25</v>
      </c>
      <c r="J18" s="221">
        <f>0</f>
        <v>0</v>
      </c>
      <c r="K18" s="221">
        <f t="shared" si="0"/>
        <v>1.2</v>
      </c>
    </row>
    <row r="19" spans="1:11">
      <c r="A19" s="459"/>
      <c r="B19" s="510" t="s">
        <v>348</v>
      </c>
      <c r="C19" s="108" t="s">
        <v>83</v>
      </c>
      <c r="D19" s="195">
        <v>2</v>
      </c>
      <c r="E19" s="7">
        <f t="shared" si="1"/>
        <v>0</v>
      </c>
      <c r="F19" s="76" t="s">
        <v>110</v>
      </c>
      <c r="G19" s="221">
        <f>D19/5</f>
        <v>0.4</v>
      </c>
      <c r="H19" s="221">
        <v>0</v>
      </c>
      <c r="I19" s="221">
        <v>0</v>
      </c>
      <c r="J19" s="221">
        <f>G19*5</f>
        <v>2</v>
      </c>
      <c r="K19" s="221">
        <f t="shared" si="0"/>
        <v>18</v>
      </c>
    </row>
    <row r="20" spans="1:11">
      <c r="A20" s="459"/>
      <c r="B20" s="510"/>
      <c r="C20" s="108" t="s">
        <v>344</v>
      </c>
      <c r="D20" s="195">
        <v>15</v>
      </c>
      <c r="E20" s="7">
        <f t="shared" si="1"/>
        <v>0</v>
      </c>
      <c r="F20" s="76" t="s">
        <v>81</v>
      </c>
      <c r="G20" s="221">
        <f>D20/100</f>
        <v>0.15</v>
      </c>
      <c r="H20" s="221">
        <f t="shared" ref="H20" si="5">1*G20</f>
        <v>0.15</v>
      </c>
      <c r="I20" s="221">
        <f>G20*5</f>
        <v>0.75</v>
      </c>
      <c r="J20" s="221">
        <f>0</f>
        <v>0</v>
      </c>
      <c r="K20" s="221">
        <f t="shared" si="0"/>
        <v>3.6</v>
      </c>
    </row>
    <row r="21" spans="1:11">
      <c r="A21" s="459"/>
      <c r="B21" s="510"/>
      <c r="C21" s="108" t="s">
        <v>345</v>
      </c>
      <c r="D21" s="195">
        <v>15</v>
      </c>
      <c r="E21" s="7">
        <f t="shared" si="1"/>
        <v>0</v>
      </c>
      <c r="F21" s="76" t="s">
        <v>75</v>
      </c>
      <c r="G21" s="221">
        <f>D21/30</f>
        <v>0.5</v>
      </c>
      <c r="H21" s="221">
        <f>G21*8</f>
        <v>4</v>
      </c>
      <c r="I21" s="221">
        <f>G21*12</f>
        <v>6</v>
      </c>
      <c r="J21" s="221">
        <f>G21*8</f>
        <v>4</v>
      </c>
      <c r="K21" s="221">
        <f t="shared" si="0"/>
        <v>76</v>
      </c>
    </row>
    <row r="22" spans="1:11">
      <c r="A22" s="459"/>
      <c r="B22" s="510"/>
      <c r="C22" s="108" t="s">
        <v>223</v>
      </c>
      <c r="D22" s="195">
        <v>10</v>
      </c>
      <c r="E22" s="7">
        <f t="shared" si="1"/>
        <v>0</v>
      </c>
      <c r="F22" s="76" t="s">
        <v>88</v>
      </c>
      <c r="G22" s="252">
        <f>D22/90</f>
        <v>0.1111111111111111</v>
      </c>
      <c r="H22" s="221">
        <f>G22*2</f>
        <v>0.22222222222222221</v>
      </c>
      <c r="I22" s="221">
        <f>G22*15</f>
        <v>1.6666666666666665</v>
      </c>
      <c r="J22" s="221">
        <f>G22*0</f>
        <v>0</v>
      </c>
      <c r="K22" s="221">
        <f t="shared" si="0"/>
        <v>7.5555555555555554</v>
      </c>
    </row>
    <row r="23" spans="1:11">
      <c r="A23" s="459"/>
      <c r="B23" s="509"/>
      <c r="C23" s="108" t="s">
        <v>346</v>
      </c>
      <c r="D23" s="195">
        <v>5</v>
      </c>
      <c r="E23" s="7">
        <f t="shared" si="1"/>
        <v>0</v>
      </c>
      <c r="F23" s="76" t="s">
        <v>81</v>
      </c>
      <c r="G23" s="221">
        <f>D23/100</f>
        <v>0.05</v>
      </c>
      <c r="H23" s="221">
        <f>1*G23</f>
        <v>0.05</v>
      </c>
      <c r="I23" s="221">
        <f>G23*5</f>
        <v>0.25</v>
      </c>
      <c r="J23" s="221">
        <f>0</f>
        <v>0</v>
      </c>
      <c r="K23" s="221">
        <f t="shared" si="0"/>
        <v>1.2</v>
      </c>
    </row>
    <row r="24" spans="1:11">
      <c r="A24" s="463" t="s">
        <v>578</v>
      </c>
      <c r="B24" s="458" t="s">
        <v>662</v>
      </c>
      <c r="C24" s="138" t="s">
        <v>664</v>
      </c>
      <c r="D24" s="2">
        <v>15</v>
      </c>
      <c r="E24" s="7">
        <f t="shared" ref="E24" si="6">D24*D$1/1000</f>
        <v>0</v>
      </c>
      <c r="F24" s="186" t="s">
        <v>110</v>
      </c>
      <c r="G24" s="221">
        <f>D24/13</f>
        <v>1.1538461538461537</v>
      </c>
      <c r="H24" s="221">
        <f>0</f>
        <v>0</v>
      </c>
      <c r="I24" s="221">
        <f>G24*0</f>
        <v>0</v>
      </c>
      <c r="J24" s="221">
        <f>G24*5</f>
        <v>5.7692307692307683</v>
      </c>
      <c r="K24" s="221">
        <f t="shared" ref="K24:K26" si="7">H24*4+I24*4+J24*9</f>
        <v>51.923076923076913</v>
      </c>
    </row>
    <row r="25" spans="1:11">
      <c r="A25" s="463"/>
      <c r="B25" s="459"/>
      <c r="C25" s="138" t="s">
        <v>665</v>
      </c>
      <c r="D25" s="136" t="s">
        <v>319</v>
      </c>
      <c r="E25" s="8"/>
      <c r="F25" s="139" t="s">
        <v>88</v>
      </c>
      <c r="G25" s="252">
        <v>1</v>
      </c>
      <c r="H25" s="221">
        <f>G25*2</f>
        <v>2</v>
      </c>
      <c r="I25" s="221">
        <f>G25*15</f>
        <v>15</v>
      </c>
      <c r="J25" s="221">
        <f>G25*0</f>
        <v>0</v>
      </c>
      <c r="K25" s="221">
        <f t="shared" si="7"/>
        <v>68</v>
      </c>
    </row>
    <row r="26" spans="1:11" s="182" customFormat="1">
      <c r="A26" s="464"/>
      <c r="B26" s="2" t="s">
        <v>642</v>
      </c>
      <c r="C26" s="14" t="s">
        <v>643</v>
      </c>
      <c r="D26" s="190"/>
      <c r="E26" s="7"/>
      <c r="F26" s="186" t="s">
        <v>8</v>
      </c>
      <c r="G26" s="282">
        <v>1</v>
      </c>
      <c r="H26" s="282">
        <f>G26*0</f>
        <v>0</v>
      </c>
      <c r="I26" s="282">
        <f>G26*15</f>
        <v>15</v>
      </c>
      <c r="J26" s="282">
        <f>G26*0</f>
        <v>0</v>
      </c>
      <c r="K26" s="282">
        <f t="shared" si="7"/>
        <v>60</v>
      </c>
    </row>
    <row r="27" spans="1:11" ht="21">
      <c r="A27" s="487" t="s">
        <v>499</v>
      </c>
      <c r="B27" s="487"/>
      <c r="C27" s="234"/>
      <c r="D27" s="235"/>
      <c r="E27" s="235"/>
      <c r="F27" s="236"/>
      <c r="G27" s="236"/>
      <c r="H27" s="237">
        <f>SUM(H1:H26)</f>
        <v>28.354367290775961</v>
      </c>
      <c r="I27" s="237">
        <f>SUM(I1:I26)</f>
        <v>95.329859943977596</v>
      </c>
      <c r="J27" s="237">
        <f>SUM(J1:J26)</f>
        <v>22.61283979178716</v>
      </c>
      <c r="K27" s="299">
        <f>H27*4+I27*4+J27*9</f>
        <v>698.2524670650987</v>
      </c>
    </row>
    <row r="28" spans="1:11" ht="19.5">
      <c r="A28" s="461" t="s">
        <v>537</v>
      </c>
      <c r="B28" s="462"/>
      <c r="C28" s="261"/>
      <c r="D28" s="261"/>
      <c r="E28" s="261"/>
      <c r="F28" s="262"/>
      <c r="G28" s="262"/>
      <c r="H28" s="257">
        <f>+H27*4/K27</f>
        <v>0.16243045962991182</v>
      </c>
      <c r="I28" s="257">
        <f>+I27*4/K27</f>
        <v>0.54610539562957194</v>
      </c>
      <c r="J28" s="257">
        <f>+J27*9/K27</f>
        <v>0.29146414474051618</v>
      </c>
      <c r="K28" s="257">
        <f>+H28+I28+J28</f>
        <v>1</v>
      </c>
    </row>
  </sheetData>
  <mergeCells count="13">
    <mergeCell ref="A27:B27"/>
    <mergeCell ref="A28:B28"/>
    <mergeCell ref="B6:B13"/>
    <mergeCell ref="B16:B18"/>
    <mergeCell ref="B19:B23"/>
    <mergeCell ref="A24:A26"/>
    <mergeCell ref="B14:B15"/>
    <mergeCell ref="B24:B25"/>
    <mergeCell ref="A1:B1"/>
    <mergeCell ref="F1:K1"/>
    <mergeCell ref="A3:A5"/>
    <mergeCell ref="B4:B5"/>
    <mergeCell ref="A6:A23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3" zoomScale="70" zoomScaleNormal="70" workbookViewId="0">
      <selection activeCell="C33" sqref="C33"/>
    </sheetView>
  </sheetViews>
  <sheetFormatPr defaultRowHeight="16.5"/>
  <cols>
    <col min="1" max="1" width="5.5" customWidth="1"/>
    <col min="2" max="2" width="11.5" style="5" customWidth="1"/>
    <col min="3" max="3" width="12.25" customWidth="1"/>
    <col min="4" max="4" width="6.375" customWidth="1"/>
    <col min="5" max="5" width="9.375" customWidth="1"/>
    <col min="6" max="6" width="5.5" style="116" customWidth="1"/>
    <col min="7" max="7" width="6.625" style="116" customWidth="1"/>
    <col min="8" max="8" width="9.75" style="116" customWidth="1"/>
    <col min="9" max="9" width="9" style="116"/>
    <col min="10" max="10" width="6.625" style="116" customWidth="1"/>
    <col min="11" max="11" width="8.375" style="116" customWidth="1"/>
  </cols>
  <sheetData>
    <row r="1" spans="1:12" ht="39.950000000000003" customHeight="1">
      <c r="A1" s="544" t="s">
        <v>186</v>
      </c>
      <c r="B1" s="544"/>
      <c r="C1" s="167" t="s">
        <v>187</v>
      </c>
      <c r="D1" s="112"/>
      <c r="E1" s="168" t="s">
        <v>188</v>
      </c>
      <c r="F1" s="504" t="s">
        <v>150</v>
      </c>
      <c r="G1" s="504"/>
      <c r="H1" s="504"/>
      <c r="I1" s="504"/>
      <c r="J1" s="504"/>
      <c r="K1" s="504"/>
    </row>
    <row r="2" spans="1:12">
      <c r="A2" s="133" t="s">
        <v>16</v>
      </c>
      <c r="B2" s="120" t="s">
        <v>17</v>
      </c>
      <c r="C2" s="2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2" ht="16.5" customHeight="1">
      <c r="A3" s="500" t="s">
        <v>0</v>
      </c>
      <c r="B3" s="458" t="s">
        <v>548</v>
      </c>
      <c r="C3" s="74" t="s">
        <v>79</v>
      </c>
      <c r="D3" s="2">
        <v>10</v>
      </c>
      <c r="E3" s="7">
        <f>D3*D$1/1000</f>
        <v>0</v>
      </c>
      <c r="F3" s="117" t="s">
        <v>81</v>
      </c>
      <c r="G3" s="221">
        <f>D3/100</f>
        <v>0.1</v>
      </c>
      <c r="H3" s="221">
        <f>1*G3</f>
        <v>0.1</v>
      </c>
      <c r="I3" s="221">
        <f>G3*5</f>
        <v>0.5</v>
      </c>
      <c r="J3" s="221">
        <f>0</f>
        <v>0</v>
      </c>
      <c r="K3" s="221">
        <f>H3*4+I3*4+J3*9</f>
        <v>2.4</v>
      </c>
    </row>
    <row r="4" spans="1:12">
      <c r="A4" s="500"/>
      <c r="B4" s="459"/>
      <c r="C4" s="74" t="s">
        <v>184</v>
      </c>
      <c r="D4" s="2">
        <v>5.5</v>
      </c>
      <c r="E4" s="7">
        <f t="shared" ref="E4:E31" si="0">D4*D$1/1000</f>
        <v>0</v>
      </c>
      <c r="F4" s="139" t="s">
        <v>112</v>
      </c>
      <c r="G4" s="252">
        <f>D4/55</f>
        <v>0.1</v>
      </c>
      <c r="H4" s="252">
        <f>G4*7</f>
        <v>0.70000000000000007</v>
      </c>
      <c r="I4" s="252"/>
      <c r="J4" s="252">
        <f>G4*5</f>
        <v>0.5</v>
      </c>
      <c r="K4" s="221">
        <f>H4*4+I4*4+J4*9</f>
        <v>7.3000000000000007</v>
      </c>
      <c r="L4" s="228"/>
    </row>
    <row r="5" spans="1:12">
      <c r="A5" s="500"/>
      <c r="B5" s="459"/>
      <c r="C5" s="147" t="s">
        <v>383</v>
      </c>
      <c r="D5" s="142">
        <v>25</v>
      </c>
      <c r="E5" s="7">
        <f t="shared" si="0"/>
        <v>0</v>
      </c>
      <c r="F5" s="139" t="s">
        <v>88</v>
      </c>
      <c r="G5" s="252">
        <f>D5/85</f>
        <v>0.29411764705882354</v>
      </c>
      <c r="H5" s="221">
        <f>G5*2</f>
        <v>0.58823529411764708</v>
      </c>
      <c r="I5" s="251">
        <f>G5*15</f>
        <v>4.4117647058823533</v>
      </c>
      <c r="J5" s="221"/>
      <c r="K5" s="221">
        <f>H5*4+I5*4+J5*9</f>
        <v>20</v>
      </c>
      <c r="L5" s="228"/>
    </row>
    <row r="6" spans="1:12" s="182" customFormat="1">
      <c r="A6" s="500"/>
      <c r="B6" s="459"/>
      <c r="C6" s="147" t="s">
        <v>298</v>
      </c>
      <c r="D6" s="142">
        <v>20</v>
      </c>
      <c r="E6" s="7">
        <f t="shared" si="0"/>
        <v>0</v>
      </c>
      <c r="F6" s="139" t="s">
        <v>88</v>
      </c>
      <c r="G6" s="252">
        <f>D6/20</f>
        <v>1</v>
      </c>
      <c r="H6" s="221">
        <f>G6*2</f>
        <v>2</v>
      </c>
      <c r="I6" s="251">
        <f>G6*15</f>
        <v>15</v>
      </c>
      <c r="J6" s="221"/>
      <c r="K6" s="221">
        <f>H6*4+I6*4+J6*9</f>
        <v>68</v>
      </c>
    </row>
    <row r="7" spans="1:12">
      <c r="A7" s="500"/>
      <c r="B7" s="460"/>
      <c r="C7" s="147" t="s">
        <v>404</v>
      </c>
      <c r="D7" s="2">
        <v>1</v>
      </c>
      <c r="E7" s="7">
        <f t="shared" si="0"/>
        <v>0</v>
      </c>
      <c r="F7" s="117"/>
      <c r="G7" s="252"/>
      <c r="H7" s="252"/>
      <c r="I7" s="252"/>
      <c r="J7" s="252"/>
      <c r="K7" s="252"/>
    </row>
    <row r="8" spans="1:12">
      <c r="A8" s="440" t="s">
        <v>1</v>
      </c>
      <c r="B8" s="192" t="s">
        <v>412</v>
      </c>
      <c r="C8" s="146" t="s">
        <v>28</v>
      </c>
      <c r="D8" s="145">
        <v>40</v>
      </c>
      <c r="E8" s="7">
        <f t="shared" si="0"/>
        <v>0</v>
      </c>
      <c r="F8" s="139" t="s">
        <v>88</v>
      </c>
      <c r="G8" s="252">
        <v>2</v>
      </c>
      <c r="H8" s="221">
        <f>G8*2</f>
        <v>4</v>
      </c>
      <c r="I8" s="251">
        <f>G8*15</f>
        <v>30</v>
      </c>
      <c r="J8" s="221"/>
      <c r="K8" s="221">
        <f>H8*4+I8*4+J8*9</f>
        <v>136</v>
      </c>
    </row>
    <row r="9" spans="1:12">
      <c r="A9" s="434"/>
      <c r="B9" s="458" t="s">
        <v>413</v>
      </c>
      <c r="C9" s="146" t="s">
        <v>208</v>
      </c>
      <c r="D9" s="145">
        <v>35</v>
      </c>
      <c r="E9" s="7">
        <f t="shared" si="0"/>
        <v>0</v>
      </c>
      <c r="F9" s="186" t="s">
        <v>112</v>
      </c>
      <c r="G9" s="252">
        <v>1</v>
      </c>
      <c r="H9" s="252">
        <f>G9*7</f>
        <v>7</v>
      </c>
      <c r="I9" s="252"/>
      <c r="J9" s="252">
        <f>G9*5</f>
        <v>5</v>
      </c>
      <c r="K9" s="221">
        <f>H9*4+I9*4+J9*9</f>
        <v>73</v>
      </c>
    </row>
    <row r="10" spans="1:12">
      <c r="A10" s="434"/>
      <c r="B10" s="459"/>
      <c r="C10" s="74" t="s">
        <v>59</v>
      </c>
      <c r="D10" s="2">
        <v>1</v>
      </c>
      <c r="E10" s="7">
        <f t="shared" si="0"/>
        <v>0</v>
      </c>
      <c r="F10" s="119" t="s">
        <v>24</v>
      </c>
      <c r="G10" s="221"/>
      <c r="H10" s="221"/>
      <c r="I10" s="221"/>
      <c r="J10" s="221"/>
      <c r="K10" s="221"/>
    </row>
    <row r="11" spans="1:12" s="182" customFormat="1">
      <c r="A11" s="434"/>
      <c r="B11" s="460"/>
      <c r="C11" s="147" t="s">
        <v>61</v>
      </c>
      <c r="D11" s="142">
        <v>3</v>
      </c>
      <c r="E11" s="7">
        <f t="shared" si="0"/>
        <v>0</v>
      </c>
      <c r="F11" s="186" t="s">
        <v>110</v>
      </c>
      <c r="G11" s="221">
        <f>D11/5</f>
        <v>0.6</v>
      </c>
      <c r="H11" s="221">
        <f>0</f>
        <v>0</v>
      </c>
      <c r="I11" s="221">
        <f>G11*0</f>
        <v>0</v>
      </c>
      <c r="J11" s="221">
        <f>G11*5</f>
        <v>3</v>
      </c>
      <c r="K11" s="221">
        <f t="shared" ref="K11:K17" si="1">H11*4+I11*4+J11*9</f>
        <v>27</v>
      </c>
    </row>
    <row r="12" spans="1:12">
      <c r="A12" s="434"/>
      <c r="B12" s="500" t="s">
        <v>179</v>
      </c>
      <c r="C12" s="74" t="s">
        <v>414</v>
      </c>
      <c r="D12" s="2">
        <v>15</v>
      </c>
      <c r="E12" s="7">
        <f t="shared" si="0"/>
        <v>0</v>
      </c>
      <c r="F12" s="139" t="s">
        <v>112</v>
      </c>
      <c r="G12" s="252">
        <v>0.1</v>
      </c>
      <c r="H12" s="252">
        <f>G12*7</f>
        <v>0.70000000000000007</v>
      </c>
      <c r="I12" s="252"/>
      <c r="J12" s="252">
        <f>G12*5</f>
        <v>0.5</v>
      </c>
      <c r="K12" s="221">
        <f t="shared" si="1"/>
        <v>7.3000000000000007</v>
      </c>
    </row>
    <row r="13" spans="1:12">
      <c r="A13" s="434"/>
      <c r="B13" s="500"/>
      <c r="C13" s="147" t="s">
        <v>213</v>
      </c>
      <c r="D13" s="142">
        <v>8</v>
      </c>
      <c r="E13" s="7">
        <f t="shared" si="0"/>
        <v>0</v>
      </c>
      <c r="F13" s="117" t="s">
        <v>81</v>
      </c>
      <c r="G13" s="221">
        <f>D13/100</f>
        <v>0.08</v>
      </c>
      <c r="H13" s="221">
        <f>1*G13</f>
        <v>0.08</v>
      </c>
      <c r="I13" s="221">
        <f>G13*5</f>
        <v>0.4</v>
      </c>
      <c r="J13" s="221">
        <f>0</f>
        <v>0</v>
      </c>
      <c r="K13" s="221">
        <f t="shared" si="1"/>
        <v>1.9200000000000002</v>
      </c>
    </row>
    <row r="14" spans="1:12">
      <c r="A14" s="434"/>
      <c r="B14" s="500"/>
      <c r="C14" s="147" t="s">
        <v>415</v>
      </c>
      <c r="D14" s="2">
        <v>8</v>
      </c>
      <c r="E14" s="7">
        <f t="shared" si="0"/>
        <v>0</v>
      </c>
      <c r="F14" s="117" t="s">
        <v>81</v>
      </c>
      <c r="G14" s="221">
        <f>D14/100</f>
        <v>0.08</v>
      </c>
      <c r="H14" s="221">
        <f>1*G14</f>
        <v>0.08</v>
      </c>
      <c r="I14" s="221">
        <f>G14*5</f>
        <v>0.4</v>
      </c>
      <c r="J14" s="221">
        <f>0</f>
        <v>0</v>
      </c>
      <c r="K14" s="221">
        <f t="shared" si="1"/>
        <v>1.9200000000000002</v>
      </c>
    </row>
    <row r="15" spans="1:12">
      <c r="A15" s="434"/>
      <c r="B15" s="500"/>
      <c r="C15" s="147" t="s">
        <v>321</v>
      </c>
      <c r="D15" s="142">
        <v>8</v>
      </c>
      <c r="E15" s="7">
        <f t="shared" si="0"/>
        <v>0</v>
      </c>
      <c r="F15" s="117" t="s">
        <v>81</v>
      </c>
      <c r="G15" s="221">
        <f>D15/100</f>
        <v>0.08</v>
      </c>
      <c r="H15" s="221">
        <f>1*G15</f>
        <v>0.08</v>
      </c>
      <c r="I15" s="221">
        <f>G15*5</f>
        <v>0.4</v>
      </c>
      <c r="J15" s="221">
        <f>0</f>
        <v>0</v>
      </c>
      <c r="K15" s="221">
        <f t="shared" si="1"/>
        <v>1.9200000000000002</v>
      </c>
    </row>
    <row r="16" spans="1:12">
      <c r="A16" s="434"/>
      <c r="B16" s="500"/>
      <c r="C16" s="147" t="s">
        <v>22</v>
      </c>
      <c r="D16" s="142">
        <v>1</v>
      </c>
      <c r="E16" s="7">
        <f t="shared" si="0"/>
        <v>0</v>
      </c>
      <c r="F16" s="117" t="s">
        <v>81</v>
      </c>
      <c r="G16" s="221">
        <f>D16/100</f>
        <v>0.01</v>
      </c>
      <c r="H16" s="221">
        <f>1*G16</f>
        <v>0.01</v>
      </c>
      <c r="I16" s="221">
        <f>G16*5</f>
        <v>0.05</v>
      </c>
      <c r="J16" s="221">
        <f>0</f>
        <v>0</v>
      </c>
      <c r="K16" s="221">
        <f t="shared" si="1"/>
        <v>0.24000000000000002</v>
      </c>
    </row>
    <row r="17" spans="1:11">
      <c r="A17" s="434"/>
      <c r="B17" s="500"/>
      <c r="C17" s="147" t="s">
        <v>225</v>
      </c>
      <c r="D17" s="142">
        <v>0.5</v>
      </c>
      <c r="E17" s="7">
        <f t="shared" si="0"/>
        <v>0</v>
      </c>
      <c r="F17" s="117" t="s">
        <v>81</v>
      </c>
      <c r="G17" s="221">
        <f>D17/100</f>
        <v>5.0000000000000001E-3</v>
      </c>
      <c r="H17" s="221">
        <f>1*G17</f>
        <v>5.0000000000000001E-3</v>
      </c>
      <c r="I17" s="221">
        <f>G17*5</f>
        <v>2.5000000000000001E-2</v>
      </c>
      <c r="J17" s="221">
        <f>0</f>
        <v>0</v>
      </c>
      <c r="K17" s="221">
        <f t="shared" si="1"/>
        <v>0.12000000000000001</v>
      </c>
    </row>
    <row r="18" spans="1:11">
      <c r="A18" s="434"/>
      <c r="B18" s="500"/>
      <c r="C18" s="147" t="s">
        <v>226</v>
      </c>
      <c r="D18" s="142">
        <v>0.5</v>
      </c>
      <c r="E18" s="7">
        <f t="shared" si="0"/>
        <v>0</v>
      </c>
      <c r="F18" s="117" t="s">
        <v>81</v>
      </c>
      <c r="G18" s="221">
        <f t="shared" ref="G18:G19" si="2">D18/100</f>
        <v>5.0000000000000001E-3</v>
      </c>
      <c r="H18" s="221">
        <f t="shared" ref="H18:H19" si="3">1*G18</f>
        <v>5.0000000000000001E-3</v>
      </c>
      <c r="I18" s="221">
        <f t="shared" ref="I18:I19" si="4">G18*5</f>
        <v>2.5000000000000001E-2</v>
      </c>
      <c r="J18" s="221">
        <f>0</f>
        <v>0</v>
      </c>
      <c r="K18" s="221">
        <f t="shared" ref="K18:K19" si="5">H18*4+I18*4+J18*9</f>
        <v>0.12000000000000001</v>
      </c>
    </row>
    <row r="19" spans="1:11">
      <c r="A19" s="434"/>
      <c r="B19" s="500"/>
      <c r="C19" s="147" t="s">
        <v>37</v>
      </c>
      <c r="D19" s="142">
        <v>0.3</v>
      </c>
      <c r="E19" s="7">
        <f t="shared" si="0"/>
        <v>0</v>
      </c>
      <c r="F19" s="117" t="s">
        <v>81</v>
      </c>
      <c r="G19" s="221">
        <f t="shared" si="2"/>
        <v>3.0000000000000001E-3</v>
      </c>
      <c r="H19" s="221">
        <f t="shared" si="3"/>
        <v>3.0000000000000001E-3</v>
      </c>
      <c r="I19" s="221">
        <f t="shared" si="4"/>
        <v>1.4999999999999999E-2</v>
      </c>
      <c r="J19" s="221">
        <f>0</f>
        <v>0</v>
      </c>
      <c r="K19" s="221">
        <f t="shared" si="5"/>
        <v>7.1999999999999995E-2</v>
      </c>
    </row>
    <row r="20" spans="1:11">
      <c r="A20" s="434"/>
      <c r="B20" s="500"/>
      <c r="C20" s="147" t="s">
        <v>61</v>
      </c>
      <c r="D20" s="142">
        <v>3</v>
      </c>
      <c r="E20" s="7">
        <f t="shared" si="0"/>
        <v>0</v>
      </c>
      <c r="F20" s="186" t="s">
        <v>110</v>
      </c>
      <c r="G20" s="221">
        <f>D20/5</f>
        <v>0.6</v>
      </c>
      <c r="H20" s="221">
        <f>0</f>
        <v>0</v>
      </c>
      <c r="I20" s="221">
        <f>G20*0</f>
        <v>0</v>
      </c>
      <c r="J20" s="221">
        <f>G20*5</f>
        <v>3</v>
      </c>
      <c r="K20" s="221">
        <f>H20*4+I20*4+J20*9</f>
        <v>27</v>
      </c>
    </row>
    <row r="21" spans="1:11" s="182" customFormat="1">
      <c r="A21" s="434"/>
      <c r="B21" s="440" t="s">
        <v>691</v>
      </c>
      <c r="C21" s="147" t="s">
        <v>583</v>
      </c>
      <c r="D21" s="142">
        <v>35</v>
      </c>
      <c r="E21" s="7">
        <f t="shared" si="0"/>
        <v>0</v>
      </c>
      <c r="F21" s="117" t="s">
        <v>81</v>
      </c>
      <c r="G21" s="221">
        <f>D21/100</f>
        <v>0.35</v>
      </c>
      <c r="H21" s="221">
        <f>1*G21</f>
        <v>0.35</v>
      </c>
      <c r="I21" s="221">
        <f>G21*5</f>
        <v>1.75</v>
      </c>
      <c r="J21" s="221">
        <f>0</f>
        <v>0</v>
      </c>
      <c r="K21" s="221">
        <f>H21*4+I21*4+J21*9</f>
        <v>8.4</v>
      </c>
    </row>
    <row r="22" spans="1:11" s="182" customFormat="1">
      <c r="A22" s="434"/>
      <c r="B22" s="434"/>
      <c r="C22" s="147" t="s">
        <v>52</v>
      </c>
      <c r="D22" s="142">
        <v>0.5</v>
      </c>
      <c r="E22" s="7">
        <f t="shared" si="0"/>
        <v>0</v>
      </c>
      <c r="F22" s="117" t="s">
        <v>81</v>
      </c>
      <c r="G22" s="221">
        <f>D22/100</f>
        <v>5.0000000000000001E-3</v>
      </c>
      <c r="H22" s="221">
        <f>1*G22</f>
        <v>5.0000000000000001E-3</v>
      </c>
      <c r="I22" s="221">
        <f>G22*5</f>
        <v>2.5000000000000001E-2</v>
      </c>
      <c r="J22" s="221">
        <f>0</f>
        <v>0</v>
      </c>
      <c r="K22" s="221">
        <f>H22*4+I22*4+J22*9</f>
        <v>0.12000000000000001</v>
      </c>
    </row>
    <row r="23" spans="1:11" s="182" customFormat="1">
      <c r="A23" s="434"/>
      <c r="B23" s="435"/>
      <c r="C23" s="147" t="s">
        <v>61</v>
      </c>
      <c r="D23" s="142">
        <v>3</v>
      </c>
      <c r="E23" s="7">
        <f t="shared" si="0"/>
        <v>0</v>
      </c>
      <c r="F23" s="186" t="s">
        <v>110</v>
      </c>
      <c r="G23" s="221">
        <f>D23/5</f>
        <v>0.6</v>
      </c>
      <c r="H23" s="221">
        <f>0</f>
        <v>0</v>
      </c>
      <c r="I23" s="221">
        <f>G23*0</f>
        <v>0</v>
      </c>
      <c r="J23" s="221">
        <f>G23*5</f>
        <v>3</v>
      </c>
      <c r="K23" s="221">
        <f t="shared" ref="K23:K27" si="6">H23*4+I23*4+J23*9</f>
        <v>27</v>
      </c>
    </row>
    <row r="24" spans="1:11" s="182" customFormat="1">
      <c r="A24" s="434"/>
      <c r="B24" s="447" t="s">
        <v>585</v>
      </c>
      <c r="C24" s="147" t="s">
        <v>584</v>
      </c>
      <c r="D24" s="142">
        <v>25</v>
      </c>
      <c r="E24" s="7">
        <f t="shared" si="0"/>
        <v>0</v>
      </c>
      <c r="F24" s="117" t="s">
        <v>81</v>
      </c>
      <c r="G24" s="221">
        <f>D24/100</f>
        <v>0.25</v>
      </c>
      <c r="H24" s="221">
        <f>1*G24</f>
        <v>0.25</v>
      </c>
      <c r="I24" s="221">
        <f>G24*5</f>
        <v>1.25</v>
      </c>
      <c r="J24" s="221">
        <f>0</f>
        <v>0</v>
      </c>
      <c r="K24" s="221">
        <f t="shared" si="6"/>
        <v>6</v>
      </c>
    </row>
    <row r="25" spans="1:11" s="182" customFormat="1">
      <c r="A25" s="434"/>
      <c r="B25" s="447"/>
      <c r="C25" s="323" t="s">
        <v>586</v>
      </c>
      <c r="D25" s="213">
        <v>12</v>
      </c>
      <c r="E25" s="7">
        <f t="shared" si="0"/>
        <v>0</v>
      </c>
      <c r="F25" s="186" t="s">
        <v>112</v>
      </c>
      <c r="G25" s="252">
        <f>D25/40</f>
        <v>0.3</v>
      </c>
      <c r="H25" s="252">
        <f>G25*7</f>
        <v>2.1</v>
      </c>
      <c r="I25" s="252"/>
      <c r="J25" s="252">
        <f>G25*3</f>
        <v>0.89999999999999991</v>
      </c>
      <c r="K25" s="221">
        <f>H25*4+I25*4+J25*9</f>
        <v>16.5</v>
      </c>
    </row>
    <row r="26" spans="1:11" s="182" customFormat="1">
      <c r="A26" s="434"/>
      <c r="B26" s="447"/>
      <c r="C26" s="147" t="s">
        <v>587</v>
      </c>
      <c r="D26" s="142">
        <v>25</v>
      </c>
      <c r="E26" s="7">
        <f t="shared" si="0"/>
        <v>0</v>
      </c>
      <c r="F26" s="139" t="s">
        <v>88</v>
      </c>
      <c r="G26" s="252">
        <f>D26/55</f>
        <v>0.45454545454545453</v>
      </c>
      <c r="H26" s="221">
        <f>G26*2</f>
        <v>0.90909090909090906</v>
      </c>
      <c r="I26" s="251">
        <f>G26*15</f>
        <v>6.8181818181818183</v>
      </c>
      <c r="J26" s="221"/>
      <c r="K26" s="221">
        <f>H26*4+I26*4+J26*9</f>
        <v>30.90909090909091</v>
      </c>
    </row>
    <row r="27" spans="1:11" s="182" customFormat="1">
      <c r="A27" s="434"/>
      <c r="B27" s="447"/>
      <c r="C27" s="147" t="s">
        <v>416</v>
      </c>
      <c r="D27" s="142">
        <v>20</v>
      </c>
      <c r="E27" s="7">
        <f t="shared" si="0"/>
        <v>0</v>
      </c>
      <c r="F27" s="186" t="s">
        <v>112</v>
      </c>
      <c r="G27" s="252">
        <f>D27/35</f>
        <v>0.5714285714285714</v>
      </c>
      <c r="H27" s="252">
        <f>G27*7</f>
        <v>4</v>
      </c>
      <c r="I27" s="252"/>
      <c r="J27" s="252">
        <f>G27*5</f>
        <v>2.8571428571428568</v>
      </c>
      <c r="K27" s="221">
        <f t="shared" si="6"/>
        <v>41.714285714285708</v>
      </c>
    </row>
    <row r="28" spans="1:11">
      <c r="A28" s="440" t="s">
        <v>2</v>
      </c>
      <c r="B28" s="440" t="s">
        <v>405</v>
      </c>
      <c r="C28" s="147" t="s">
        <v>406</v>
      </c>
      <c r="D28" s="142">
        <v>10</v>
      </c>
      <c r="E28" s="7">
        <f t="shared" si="0"/>
        <v>0</v>
      </c>
      <c r="F28" s="139" t="s">
        <v>88</v>
      </c>
      <c r="G28" s="252">
        <f>D28/55</f>
        <v>0.18181818181818182</v>
      </c>
      <c r="H28" s="221">
        <f>G28*2</f>
        <v>0.36363636363636365</v>
      </c>
      <c r="I28" s="251">
        <f>G28*15</f>
        <v>2.7272727272727275</v>
      </c>
      <c r="J28" s="221"/>
      <c r="K28" s="221">
        <f>H28*4+I28*4+J28*9</f>
        <v>12.363636363636365</v>
      </c>
    </row>
    <row r="29" spans="1:11">
      <c r="A29" s="434"/>
      <c r="B29" s="434"/>
      <c r="C29" s="147" t="s">
        <v>407</v>
      </c>
      <c r="D29" s="142">
        <v>5</v>
      </c>
      <c r="E29" s="7">
        <f t="shared" si="0"/>
        <v>0</v>
      </c>
      <c r="F29" s="117" t="s">
        <v>88</v>
      </c>
      <c r="G29" s="252">
        <v>0.5</v>
      </c>
      <c r="H29" s="221">
        <f>G29*2</f>
        <v>1</v>
      </c>
      <c r="I29" s="251">
        <f>G29*15</f>
        <v>7.5</v>
      </c>
      <c r="J29" s="221"/>
      <c r="K29" s="221">
        <f>H29*4+I29*4+J29*9</f>
        <v>34</v>
      </c>
    </row>
    <row r="30" spans="1:11">
      <c r="A30" s="434"/>
      <c r="B30" s="434"/>
      <c r="C30" s="147" t="s">
        <v>345</v>
      </c>
      <c r="D30" s="2">
        <v>15</v>
      </c>
      <c r="E30" s="7">
        <f t="shared" si="0"/>
        <v>0</v>
      </c>
      <c r="F30" s="117" t="s">
        <v>75</v>
      </c>
      <c r="G30" s="252">
        <f>D30/30</f>
        <v>0.5</v>
      </c>
      <c r="H30" s="221">
        <f>G30*8</f>
        <v>4</v>
      </c>
      <c r="I30" s="221">
        <f>G30*12</f>
        <v>6</v>
      </c>
      <c r="J30" s="221">
        <f>G30*8</f>
        <v>4</v>
      </c>
      <c r="K30" s="221">
        <f>H30*4+I30*4+J30*9</f>
        <v>76</v>
      </c>
    </row>
    <row r="31" spans="1:11">
      <c r="A31" s="435"/>
      <c r="B31" s="435"/>
      <c r="C31" s="297" t="s">
        <v>504</v>
      </c>
      <c r="D31" s="142">
        <v>5</v>
      </c>
      <c r="E31" s="7">
        <f t="shared" si="0"/>
        <v>0</v>
      </c>
      <c r="F31" s="119" t="s">
        <v>24</v>
      </c>
      <c r="G31" s="252"/>
      <c r="H31" s="252"/>
      <c r="I31" s="252">
        <f>D31</f>
        <v>5</v>
      </c>
      <c r="J31" s="252"/>
      <c r="K31" s="221">
        <f t="shared" ref="K31" si="7">H31*4+I31*4+J31*9</f>
        <v>20</v>
      </c>
    </row>
    <row r="32" spans="1:11" s="182" customFormat="1">
      <c r="A32" s="184"/>
      <c r="B32" s="2" t="s">
        <v>832</v>
      </c>
      <c r="C32" s="14" t="s">
        <v>833</v>
      </c>
      <c r="D32" s="190"/>
      <c r="E32" s="7"/>
      <c r="F32" s="186" t="s">
        <v>8</v>
      </c>
      <c r="G32" s="282">
        <v>1</v>
      </c>
      <c r="H32" s="282">
        <f>G32*0</f>
        <v>0</v>
      </c>
      <c r="I32" s="282">
        <f>G32*15</f>
        <v>15</v>
      </c>
      <c r="J32" s="282">
        <f>G32*0</f>
        <v>0</v>
      </c>
      <c r="K32" s="282">
        <f t="shared" ref="K32" si="8">H32*4+I32*4+J32*9</f>
        <v>60</v>
      </c>
    </row>
    <row r="33" spans="1:11" ht="21">
      <c r="A33" s="487" t="s">
        <v>499</v>
      </c>
      <c r="B33" s="487"/>
      <c r="C33" s="234"/>
      <c r="D33" s="235"/>
      <c r="E33" s="235"/>
      <c r="F33" s="236"/>
      <c r="G33" s="236"/>
      <c r="H33" s="237">
        <f>SUM(H3:H32)</f>
        <v>28.328962566844922</v>
      </c>
      <c r="I33" s="237">
        <f>SUM(I3:I32)</f>
        <v>97.297219251336884</v>
      </c>
      <c r="J33" s="237">
        <f>SUM(J3:J32)</f>
        <v>22.757142857142856</v>
      </c>
      <c r="K33" s="325">
        <f>H33*4+I33*4+J33*9</f>
        <v>707.31901298701291</v>
      </c>
    </row>
    <row r="34" spans="1:11" ht="19.5">
      <c r="A34" s="461" t="s">
        <v>537</v>
      </c>
      <c r="B34" s="462"/>
      <c r="C34" s="261"/>
      <c r="D34" s="261"/>
      <c r="E34" s="261"/>
      <c r="F34" s="262"/>
      <c r="G34" s="262"/>
      <c r="H34" s="257">
        <f>+H33*4/K33</f>
        <v>0.160204728258111</v>
      </c>
      <c r="I34" s="257">
        <f>+I33*4/K33</f>
        <v>0.55023104124092514</v>
      </c>
      <c r="J34" s="257">
        <f>+J33*9/K33</f>
        <v>0.28956423050096397</v>
      </c>
      <c r="K34" s="257">
        <f>+H34+I34+J34</f>
        <v>1.0000000000000002</v>
      </c>
    </row>
  </sheetData>
  <mergeCells count="13">
    <mergeCell ref="A33:B33"/>
    <mergeCell ref="A34:B34"/>
    <mergeCell ref="B12:B20"/>
    <mergeCell ref="B21:B23"/>
    <mergeCell ref="B24:B27"/>
    <mergeCell ref="F1:K1"/>
    <mergeCell ref="A3:A7"/>
    <mergeCell ref="B3:B7"/>
    <mergeCell ref="B9:B11"/>
    <mergeCell ref="B28:B31"/>
    <mergeCell ref="A28:A31"/>
    <mergeCell ref="A8:A27"/>
    <mergeCell ref="A1:B1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3" zoomScale="70" zoomScaleNormal="70" workbookViewId="0">
      <selection activeCell="B15" sqref="B15:B17"/>
    </sheetView>
  </sheetViews>
  <sheetFormatPr defaultRowHeight="16.5"/>
  <cols>
    <col min="1" max="1" width="5.5" customWidth="1"/>
    <col min="2" max="2" width="13.625" style="5" customWidth="1"/>
    <col min="3" max="3" width="12.25" customWidth="1"/>
    <col min="4" max="4" width="6.375" customWidth="1"/>
    <col min="5" max="5" width="9.375" customWidth="1"/>
    <col min="6" max="6" width="5.5" style="116" customWidth="1"/>
    <col min="7" max="7" width="6.625" customWidth="1"/>
    <col min="8" max="8" width="9.75" customWidth="1"/>
    <col min="10" max="10" width="6.625" customWidth="1"/>
    <col min="11" max="11" width="8.375" customWidth="1"/>
  </cols>
  <sheetData>
    <row r="1" spans="1:11" ht="39.950000000000003" customHeight="1">
      <c r="A1" s="544" t="s">
        <v>186</v>
      </c>
      <c r="B1" s="544"/>
      <c r="C1" s="167" t="s">
        <v>187</v>
      </c>
      <c r="D1" s="112"/>
      <c r="E1" s="168" t="s">
        <v>188</v>
      </c>
      <c r="F1" s="504" t="s">
        <v>150</v>
      </c>
      <c r="G1" s="504"/>
      <c r="H1" s="504"/>
      <c r="I1" s="504"/>
      <c r="J1" s="504"/>
      <c r="K1" s="504"/>
    </row>
    <row r="2" spans="1:11">
      <c r="A2" s="133" t="s">
        <v>16</v>
      </c>
      <c r="B2" s="120" t="s">
        <v>17</v>
      </c>
      <c r="C2" s="2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500" t="s">
        <v>0</v>
      </c>
      <c r="B3" s="3" t="s">
        <v>408</v>
      </c>
      <c r="C3" s="146" t="s">
        <v>409</v>
      </c>
      <c r="D3" s="136" t="s">
        <v>246</v>
      </c>
      <c r="E3" s="7"/>
      <c r="F3" s="139" t="s">
        <v>88</v>
      </c>
      <c r="G3" s="252">
        <v>2</v>
      </c>
      <c r="H3" s="221">
        <f>G3*2</f>
        <v>4</v>
      </c>
      <c r="I3" s="251">
        <f>G3*15</f>
        <v>30</v>
      </c>
      <c r="J3" s="221"/>
      <c r="K3" s="221">
        <f>H3*4+I3*4+J3*9</f>
        <v>136</v>
      </c>
    </row>
    <row r="4" spans="1:11">
      <c r="A4" s="500"/>
      <c r="B4" s="500" t="s">
        <v>410</v>
      </c>
      <c r="C4" s="146" t="s">
        <v>411</v>
      </c>
      <c r="D4" s="136">
        <v>8</v>
      </c>
      <c r="E4" s="7">
        <f>D4*D$1/1000</f>
        <v>0</v>
      </c>
      <c r="F4" s="90" t="s">
        <v>88</v>
      </c>
      <c r="G4" s="251">
        <f>D4/20</f>
        <v>0.4</v>
      </c>
      <c r="H4" s="221">
        <f>G4*2</f>
        <v>0.8</v>
      </c>
      <c r="I4" s="221">
        <f>G4*15</f>
        <v>6</v>
      </c>
      <c r="J4" s="221">
        <f>G4*0</f>
        <v>0</v>
      </c>
      <c r="K4" s="221">
        <f t="shared" ref="K4" si="0">H4*4+I4*4+J4*9</f>
        <v>27.2</v>
      </c>
    </row>
    <row r="5" spans="1:11">
      <c r="A5" s="500"/>
      <c r="B5" s="500"/>
      <c r="C5" s="146" t="s">
        <v>345</v>
      </c>
      <c r="D5" s="145">
        <v>20</v>
      </c>
      <c r="E5" s="7">
        <f t="shared" ref="E5:E29" si="1">D5*D$1/1000</f>
        <v>0</v>
      </c>
      <c r="F5" s="139" t="s">
        <v>75</v>
      </c>
      <c r="G5" s="252">
        <f>D5/30</f>
        <v>0.66666666666666663</v>
      </c>
      <c r="H5" s="221">
        <f>G5*8</f>
        <v>5.333333333333333</v>
      </c>
      <c r="I5" s="251">
        <f>G5*12</f>
        <v>8</v>
      </c>
      <c r="J5" s="221">
        <f>G5*8</f>
        <v>5.333333333333333</v>
      </c>
      <c r="K5" s="221">
        <f>H5*4+I5*4+J5*9</f>
        <v>101.33333333333333</v>
      </c>
    </row>
    <row r="6" spans="1:11">
      <c r="A6" s="452" t="s">
        <v>1</v>
      </c>
      <c r="B6" s="482" t="s">
        <v>146</v>
      </c>
      <c r="C6" s="57" t="s">
        <v>239</v>
      </c>
      <c r="D6" s="58">
        <v>2</v>
      </c>
      <c r="E6" s="7">
        <f t="shared" si="1"/>
        <v>0</v>
      </c>
      <c r="F6" s="90" t="s">
        <v>88</v>
      </c>
      <c r="G6" s="251">
        <f>D6/20</f>
        <v>0.1</v>
      </c>
      <c r="H6" s="221">
        <f>G6*2</f>
        <v>0.2</v>
      </c>
      <c r="I6" s="221">
        <f>G6*15</f>
        <v>1.5</v>
      </c>
      <c r="J6" s="221">
        <f>G6*0</f>
        <v>0</v>
      </c>
      <c r="K6" s="221">
        <f t="shared" ref="K6:K21" si="2">H6*4+I6*4+J6*9</f>
        <v>6.8</v>
      </c>
    </row>
    <row r="7" spans="1:11">
      <c r="A7" s="456"/>
      <c r="B7" s="482"/>
      <c r="C7" s="13" t="s">
        <v>28</v>
      </c>
      <c r="D7" s="47">
        <v>38</v>
      </c>
      <c r="E7" s="7">
        <f t="shared" si="1"/>
        <v>0</v>
      </c>
      <c r="F7" s="90" t="s">
        <v>88</v>
      </c>
      <c r="G7" s="251">
        <f>D7/20</f>
        <v>1.9</v>
      </c>
      <c r="H7" s="221">
        <f>G7*2</f>
        <v>3.8</v>
      </c>
      <c r="I7" s="221">
        <f>G7*15</f>
        <v>28.5</v>
      </c>
      <c r="J7" s="221">
        <f>G7*0</f>
        <v>0</v>
      </c>
      <c r="K7" s="221">
        <f t="shared" si="2"/>
        <v>129.19999999999999</v>
      </c>
    </row>
    <row r="8" spans="1:11" ht="16.5" customHeight="1">
      <c r="A8" s="456"/>
      <c r="B8" s="434" t="s">
        <v>162</v>
      </c>
      <c r="C8" s="14" t="s">
        <v>226</v>
      </c>
      <c r="D8" s="47">
        <v>0.5</v>
      </c>
      <c r="E8" s="7">
        <f t="shared" si="1"/>
        <v>0</v>
      </c>
      <c r="F8" s="161" t="s">
        <v>24</v>
      </c>
      <c r="G8" s="221"/>
      <c r="H8" s="221"/>
      <c r="I8" s="221"/>
      <c r="J8" s="221"/>
      <c r="K8" s="221">
        <f t="shared" si="2"/>
        <v>0</v>
      </c>
    </row>
    <row r="9" spans="1:11">
      <c r="A9" s="456"/>
      <c r="B9" s="434"/>
      <c r="C9" s="14" t="s">
        <v>240</v>
      </c>
      <c r="D9" s="7">
        <v>40</v>
      </c>
      <c r="E9" s="7">
        <f t="shared" si="1"/>
        <v>0</v>
      </c>
      <c r="F9" s="76" t="s">
        <v>112</v>
      </c>
      <c r="G9" s="221">
        <f>D9/40</f>
        <v>1</v>
      </c>
      <c r="H9" s="221">
        <f>G9*7</f>
        <v>7</v>
      </c>
      <c r="I9" s="221"/>
      <c r="J9" s="221">
        <f>G9*5</f>
        <v>5</v>
      </c>
      <c r="K9" s="221">
        <f t="shared" si="2"/>
        <v>73</v>
      </c>
    </row>
    <row r="10" spans="1:11">
      <c r="A10" s="456"/>
      <c r="B10" s="435"/>
      <c r="C10" s="14" t="s">
        <v>241</v>
      </c>
      <c r="D10" s="47" t="s">
        <v>182</v>
      </c>
      <c r="E10" s="7"/>
      <c r="F10" s="77" t="s">
        <v>24</v>
      </c>
      <c r="G10" s="221"/>
      <c r="H10" s="221"/>
      <c r="I10" s="221"/>
      <c r="J10" s="221"/>
      <c r="K10" s="221">
        <f t="shared" si="2"/>
        <v>0</v>
      </c>
    </row>
    <row r="11" spans="1:11">
      <c r="A11" s="456"/>
      <c r="B11" s="465" t="s">
        <v>242</v>
      </c>
      <c r="C11" s="13" t="s">
        <v>243</v>
      </c>
      <c r="D11" s="9">
        <v>25</v>
      </c>
      <c r="E11" s="7">
        <f t="shared" si="1"/>
        <v>0</v>
      </c>
      <c r="F11" s="76" t="s">
        <v>81</v>
      </c>
      <c r="G11" s="225">
        <f>D11/100</f>
        <v>0.25</v>
      </c>
      <c r="H11" s="221">
        <f>1*G11</f>
        <v>0.25</v>
      </c>
      <c r="I11" s="221">
        <f>G11*5</f>
        <v>1.25</v>
      </c>
      <c r="J11" s="221">
        <f>0</f>
        <v>0</v>
      </c>
      <c r="K11" s="221">
        <f t="shared" si="2"/>
        <v>6</v>
      </c>
    </row>
    <row r="12" spans="1:11">
      <c r="A12" s="456"/>
      <c r="B12" s="463"/>
      <c r="C12" s="74" t="s">
        <v>244</v>
      </c>
      <c r="D12" s="2">
        <v>10</v>
      </c>
      <c r="E12" s="7">
        <f t="shared" si="1"/>
        <v>0</v>
      </c>
      <c r="F12" s="117" t="s">
        <v>112</v>
      </c>
      <c r="G12" s="252">
        <f>D12/45</f>
        <v>0.22222222222222221</v>
      </c>
      <c r="H12" s="252">
        <f>G12*7</f>
        <v>1.5555555555555554</v>
      </c>
      <c r="I12" s="252">
        <f>G12*5</f>
        <v>1.1111111111111112</v>
      </c>
      <c r="J12" s="252">
        <f>G12*3</f>
        <v>0.66666666666666663</v>
      </c>
      <c r="K12" s="221">
        <f t="shared" si="2"/>
        <v>16.666666666666664</v>
      </c>
    </row>
    <row r="13" spans="1:11">
      <c r="A13" s="456"/>
      <c r="B13" s="463"/>
      <c r="C13" s="61" t="s">
        <v>228</v>
      </c>
      <c r="D13" s="62">
        <v>0.5</v>
      </c>
      <c r="E13" s="7">
        <f t="shared" si="1"/>
        <v>0</v>
      </c>
      <c r="F13" s="161" t="s">
        <v>24</v>
      </c>
      <c r="G13" s="221"/>
      <c r="H13" s="221"/>
      <c r="I13" s="221"/>
      <c r="J13" s="221"/>
      <c r="K13" s="221">
        <f t="shared" si="2"/>
        <v>0</v>
      </c>
    </row>
    <row r="14" spans="1:11">
      <c r="A14" s="456"/>
      <c r="B14" s="463"/>
      <c r="C14" s="14" t="s">
        <v>183</v>
      </c>
      <c r="D14" s="31">
        <v>2</v>
      </c>
      <c r="E14" s="7">
        <f t="shared" si="1"/>
        <v>0</v>
      </c>
      <c r="F14" s="76" t="s">
        <v>110</v>
      </c>
      <c r="G14" s="229">
        <f>D14/5</f>
        <v>0.4</v>
      </c>
      <c r="H14" s="229">
        <f>0</f>
        <v>0</v>
      </c>
      <c r="I14" s="229">
        <f>G14*0</f>
        <v>0</v>
      </c>
      <c r="J14" s="229">
        <f>G14*5</f>
        <v>2</v>
      </c>
      <c r="K14" s="221">
        <f t="shared" si="2"/>
        <v>18</v>
      </c>
    </row>
    <row r="15" spans="1:11">
      <c r="A15" s="456"/>
      <c r="B15" s="457" t="s">
        <v>704</v>
      </c>
      <c r="C15" s="14" t="s">
        <v>52</v>
      </c>
      <c r="D15" s="58">
        <v>0.5</v>
      </c>
      <c r="E15" s="7">
        <f t="shared" si="1"/>
        <v>0</v>
      </c>
      <c r="F15" s="106" t="s">
        <v>24</v>
      </c>
      <c r="G15" s="225"/>
      <c r="H15" s="221"/>
      <c r="I15" s="221"/>
      <c r="J15" s="221"/>
      <c r="K15" s="221">
        <f t="shared" si="2"/>
        <v>0</v>
      </c>
    </row>
    <row r="16" spans="1:11">
      <c r="A16" s="456"/>
      <c r="B16" s="457"/>
      <c r="C16" s="14" t="s">
        <v>703</v>
      </c>
      <c r="D16" s="31">
        <v>40</v>
      </c>
      <c r="E16" s="7">
        <f t="shared" si="1"/>
        <v>0</v>
      </c>
      <c r="F16" s="186" t="s">
        <v>81</v>
      </c>
      <c r="G16" s="225">
        <f>D16/100</f>
        <v>0.4</v>
      </c>
      <c r="H16" s="221">
        <f>1*G16</f>
        <v>0.4</v>
      </c>
      <c r="I16" s="221">
        <f>G16*5</f>
        <v>2</v>
      </c>
      <c r="J16" s="221">
        <f>0</f>
        <v>0</v>
      </c>
      <c r="K16" s="221">
        <f t="shared" si="2"/>
        <v>9.6</v>
      </c>
    </row>
    <row r="17" spans="1:11">
      <c r="A17" s="456"/>
      <c r="B17" s="452"/>
      <c r="C17" s="59" t="s">
        <v>183</v>
      </c>
      <c r="D17" s="191">
        <v>1</v>
      </c>
      <c r="E17" s="7">
        <f t="shared" si="1"/>
        <v>0</v>
      </c>
      <c r="F17" s="183" t="s">
        <v>110</v>
      </c>
      <c r="G17" s="229">
        <f>D17/5</f>
        <v>0.2</v>
      </c>
      <c r="H17" s="229">
        <f>0</f>
        <v>0</v>
      </c>
      <c r="I17" s="229">
        <f>G17*0</f>
        <v>0</v>
      </c>
      <c r="J17" s="229">
        <f>G17*5</f>
        <v>1</v>
      </c>
      <c r="K17" s="221">
        <f t="shared" si="2"/>
        <v>9</v>
      </c>
    </row>
    <row r="18" spans="1:11">
      <c r="A18" s="456"/>
      <c r="B18" s="458" t="s">
        <v>588</v>
      </c>
      <c r="C18" s="61" t="s">
        <v>114</v>
      </c>
      <c r="D18" s="191">
        <v>30</v>
      </c>
      <c r="E18" s="7">
        <f t="shared" si="1"/>
        <v>0</v>
      </c>
      <c r="F18" s="86" t="s">
        <v>81</v>
      </c>
      <c r="G18" s="225">
        <f>D18/100</f>
        <v>0.3</v>
      </c>
      <c r="H18" s="221">
        <f>1*G18</f>
        <v>0.3</v>
      </c>
      <c r="I18" s="221">
        <f>G18*5</f>
        <v>1.5</v>
      </c>
      <c r="J18" s="221">
        <f>0</f>
        <v>0</v>
      </c>
      <c r="K18" s="221">
        <f t="shared" si="2"/>
        <v>7.2</v>
      </c>
    </row>
    <row r="19" spans="1:11">
      <c r="A19" s="456"/>
      <c r="B19" s="459"/>
      <c r="C19" s="61" t="s">
        <v>228</v>
      </c>
      <c r="D19" s="62">
        <v>0.5</v>
      </c>
      <c r="E19" s="7">
        <f t="shared" si="1"/>
        <v>0</v>
      </c>
      <c r="F19" s="77" t="s">
        <v>24</v>
      </c>
      <c r="G19" s="221"/>
      <c r="H19" s="221"/>
      <c r="I19" s="221"/>
      <c r="J19" s="221"/>
      <c r="K19" s="221">
        <f t="shared" si="2"/>
        <v>0</v>
      </c>
    </row>
    <row r="20" spans="1:11">
      <c r="A20" s="456"/>
      <c r="B20" s="459"/>
      <c r="C20" s="138" t="s">
        <v>401</v>
      </c>
      <c r="D20" s="142">
        <v>20</v>
      </c>
      <c r="E20" s="7">
        <f t="shared" si="1"/>
        <v>0</v>
      </c>
      <c r="F20" s="144" t="s">
        <v>112</v>
      </c>
      <c r="G20" s="252">
        <f>D20/35</f>
        <v>0.5714285714285714</v>
      </c>
      <c r="H20" s="252">
        <f>G20*7</f>
        <v>4</v>
      </c>
      <c r="I20" s="252"/>
      <c r="J20" s="252">
        <f>G20*5</f>
        <v>2.8571428571428568</v>
      </c>
      <c r="K20" s="221">
        <f t="shared" si="2"/>
        <v>41.714285714285708</v>
      </c>
    </row>
    <row r="21" spans="1:11">
      <c r="A21" s="456"/>
      <c r="B21" s="459"/>
      <c r="C21" s="61" t="s">
        <v>59</v>
      </c>
      <c r="D21" s="62">
        <v>1</v>
      </c>
      <c r="E21" s="7">
        <f t="shared" si="1"/>
        <v>0</v>
      </c>
      <c r="F21" s="77" t="s">
        <v>24</v>
      </c>
      <c r="G21" s="221"/>
      <c r="H21" s="221"/>
      <c r="I21" s="221"/>
      <c r="J21" s="221"/>
      <c r="K21" s="221">
        <f t="shared" si="2"/>
        <v>0</v>
      </c>
    </row>
    <row r="22" spans="1:11">
      <c r="A22" s="440" t="s">
        <v>2</v>
      </c>
      <c r="B22" s="440" t="s">
        <v>666</v>
      </c>
      <c r="C22" s="147" t="s">
        <v>667</v>
      </c>
      <c r="D22" s="142">
        <v>20</v>
      </c>
      <c r="E22" s="7">
        <f t="shared" si="1"/>
        <v>0</v>
      </c>
      <c r="F22" s="139" t="s">
        <v>88</v>
      </c>
      <c r="G22" s="252">
        <f>D22/30</f>
        <v>0.66666666666666663</v>
      </c>
      <c r="H22" s="221">
        <f>G22*2</f>
        <v>1.3333333333333333</v>
      </c>
      <c r="I22" s="251">
        <f>G22*15</f>
        <v>10</v>
      </c>
      <c r="J22" s="221"/>
      <c r="K22" s="221">
        <f t="shared" ref="K22:K24" si="3">H22*4+I22*4+J22*9</f>
        <v>45.333333333333336</v>
      </c>
    </row>
    <row r="23" spans="1:11">
      <c r="A23" s="434"/>
      <c r="B23" s="434"/>
      <c r="C23" s="147" t="s">
        <v>377</v>
      </c>
      <c r="D23" s="142">
        <v>10</v>
      </c>
      <c r="E23" s="7">
        <f t="shared" si="1"/>
        <v>0</v>
      </c>
      <c r="F23" s="75" t="s">
        <v>112</v>
      </c>
      <c r="G23" s="252">
        <f>D23/35</f>
        <v>0.2857142857142857</v>
      </c>
      <c r="H23" s="252">
        <f>G23*7</f>
        <v>2</v>
      </c>
      <c r="I23" s="252"/>
      <c r="J23" s="252">
        <f>G23*5</f>
        <v>1.4285714285714284</v>
      </c>
      <c r="K23" s="221">
        <f t="shared" si="3"/>
        <v>20.857142857142854</v>
      </c>
    </row>
    <row r="24" spans="1:11">
      <c r="A24" s="434"/>
      <c r="B24" s="434"/>
      <c r="C24" s="147" t="s">
        <v>255</v>
      </c>
      <c r="D24" s="142">
        <v>0.5</v>
      </c>
      <c r="E24" s="7">
        <f t="shared" si="1"/>
        <v>0</v>
      </c>
      <c r="F24" s="106" t="s">
        <v>24</v>
      </c>
      <c r="G24" s="225">
        <f>D24/100</f>
        <v>5.0000000000000001E-3</v>
      </c>
      <c r="H24" s="221">
        <f>1*G24</f>
        <v>5.0000000000000001E-3</v>
      </c>
      <c r="I24" s="221">
        <f>G24*5</f>
        <v>2.5000000000000001E-2</v>
      </c>
      <c r="J24" s="221">
        <f>0</f>
        <v>0</v>
      </c>
      <c r="K24" s="221">
        <f t="shared" si="3"/>
        <v>0.12000000000000001</v>
      </c>
    </row>
    <row r="25" spans="1:11">
      <c r="A25" s="434"/>
      <c r="B25" s="434"/>
      <c r="C25" s="147" t="s">
        <v>19</v>
      </c>
      <c r="D25" s="142">
        <v>0.3</v>
      </c>
      <c r="E25" s="7">
        <f t="shared" si="1"/>
        <v>0</v>
      </c>
      <c r="F25" s="106" t="s">
        <v>24</v>
      </c>
      <c r="G25" s="280"/>
      <c r="H25" s="280"/>
      <c r="I25" s="280"/>
      <c r="J25" s="280"/>
      <c r="K25" s="280"/>
    </row>
    <row r="26" spans="1:11">
      <c r="A26" s="434"/>
      <c r="B26" s="434"/>
      <c r="C26" s="147" t="s">
        <v>25</v>
      </c>
      <c r="D26" s="74">
        <v>0.1</v>
      </c>
      <c r="E26" s="7">
        <f t="shared" si="1"/>
        <v>0</v>
      </c>
      <c r="F26" s="119" t="s">
        <v>24</v>
      </c>
      <c r="G26" s="280"/>
      <c r="H26" s="280"/>
      <c r="I26" s="280"/>
      <c r="J26" s="280"/>
      <c r="K26" s="280"/>
    </row>
    <row r="27" spans="1:11">
      <c r="A27" s="434"/>
      <c r="B27" s="434"/>
      <c r="C27" s="147" t="s">
        <v>22</v>
      </c>
      <c r="D27" s="142">
        <v>1</v>
      </c>
      <c r="E27" s="7">
        <f t="shared" si="1"/>
        <v>0</v>
      </c>
      <c r="F27" s="119" t="s">
        <v>24</v>
      </c>
      <c r="G27" s="225">
        <f>D27/100</f>
        <v>0.01</v>
      </c>
      <c r="H27" s="221">
        <f>1*G27</f>
        <v>0.01</v>
      </c>
      <c r="I27" s="221">
        <f>G27*5</f>
        <v>0.05</v>
      </c>
      <c r="J27" s="221">
        <f>0</f>
        <v>0</v>
      </c>
      <c r="K27" s="221">
        <f t="shared" ref="K27" si="4">H27*4+I27*4+J27*9</f>
        <v>0.24000000000000002</v>
      </c>
    </row>
    <row r="28" spans="1:11">
      <c r="A28" s="434"/>
      <c r="B28" s="434"/>
      <c r="C28" s="147" t="s">
        <v>79</v>
      </c>
      <c r="D28" s="142">
        <v>15</v>
      </c>
      <c r="E28" s="7">
        <f t="shared" si="1"/>
        <v>0</v>
      </c>
      <c r="F28" s="117" t="s">
        <v>81</v>
      </c>
      <c r="G28" s="221">
        <f>D28/100</f>
        <v>0.15</v>
      </c>
      <c r="H28" s="221">
        <f>1*G28</f>
        <v>0.15</v>
      </c>
      <c r="I28" s="221">
        <f>G28*5</f>
        <v>0.75</v>
      </c>
      <c r="J28" s="221">
        <f>0</f>
        <v>0</v>
      </c>
      <c r="K28" s="221">
        <f>H28*4+I28*4+J28*9</f>
        <v>3.6</v>
      </c>
    </row>
    <row r="29" spans="1:11">
      <c r="A29" s="434"/>
      <c r="B29" s="435"/>
      <c r="C29" s="147" t="s">
        <v>225</v>
      </c>
      <c r="D29" s="142">
        <v>0.5</v>
      </c>
      <c r="E29" s="7">
        <f t="shared" si="1"/>
        <v>0</v>
      </c>
      <c r="F29" s="119" t="s">
        <v>24</v>
      </c>
      <c r="G29" s="74"/>
      <c r="H29" s="74"/>
      <c r="I29" s="74"/>
      <c r="J29" s="74"/>
      <c r="K29" s="74"/>
    </row>
    <row r="30" spans="1:11" s="182" customFormat="1">
      <c r="A30" s="435"/>
      <c r="B30" s="2" t="s">
        <v>668</v>
      </c>
      <c r="C30" s="14" t="s">
        <v>628</v>
      </c>
      <c r="D30" s="190"/>
      <c r="E30" s="7"/>
      <c r="F30" s="186" t="s">
        <v>8</v>
      </c>
      <c r="G30" s="282">
        <v>1</v>
      </c>
      <c r="H30" s="282">
        <f>G30*0</f>
        <v>0</v>
      </c>
      <c r="I30" s="282">
        <f>G30*15</f>
        <v>15</v>
      </c>
      <c r="J30" s="282">
        <f>G30*0</f>
        <v>0</v>
      </c>
      <c r="K30" s="282">
        <f t="shared" ref="K30" si="5">H30*4+I30*4+J30*9</f>
        <v>60</v>
      </c>
    </row>
    <row r="31" spans="1:11" ht="21">
      <c r="A31" s="487" t="s">
        <v>499</v>
      </c>
      <c r="B31" s="487"/>
      <c r="C31" s="234"/>
      <c r="D31" s="235"/>
      <c r="E31" s="235"/>
      <c r="F31" s="236"/>
      <c r="G31" s="236"/>
      <c r="H31" s="237">
        <f>SUM(H3:H30)</f>
        <v>31.137222222222221</v>
      </c>
      <c r="I31" s="237">
        <f>SUM(I3:I30)</f>
        <v>105.68611111111112</v>
      </c>
      <c r="J31" s="237">
        <f>SUM(J3:J30)</f>
        <v>18.285714285714281</v>
      </c>
      <c r="K31" s="292">
        <f>H31*4+I31*4+J31*9</f>
        <v>711.86476190476185</v>
      </c>
    </row>
    <row r="32" spans="1:11" ht="21">
      <c r="A32" s="461" t="s">
        <v>537</v>
      </c>
      <c r="B32" s="462"/>
      <c r="C32" s="261"/>
      <c r="D32" s="261"/>
      <c r="E32" s="261"/>
      <c r="F32" s="262"/>
      <c r="G32" s="262"/>
      <c r="H32" s="326">
        <f>+H31*4/K31</f>
        <v>0.17496144710917982</v>
      </c>
      <c r="I32" s="326">
        <f>+I31*4/K31</f>
        <v>0.59385499475109871</v>
      </c>
      <c r="J32" s="326">
        <f>+J31*9/K31</f>
        <v>0.23118355813972152</v>
      </c>
      <c r="K32" s="326">
        <f>+H32+I32+J32</f>
        <v>1</v>
      </c>
    </row>
  </sheetData>
  <mergeCells count="14">
    <mergeCell ref="A32:B32"/>
    <mergeCell ref="A22:A30"/>
    <mergeCell ref="A31:B31"/>
    <mergeCell ref="B6:B7"/>
    <mergeCell ref="B8:B10"/>
    <mergeCell ref="B11:B14"/>
    <mergeCell ref="B15:B17"/>
    <mergeCell ref="B18:B21"/>
    <mergeCell ref="B22:B29"/>
    <mergeCell ref="A1:B1"/>
    <mergeCell ref="F1:K1"/>
    <mergeCell ref="A3:A5"/>
    <mergeCell ref="B4:B5"/>
    <mergeCell ref="A6:A21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4"/>
  <sheetViews>
    <sheetView topLeftCell="A12" zoomScale="70" zoomScaleNormal="70" workbookViewId="0">
      <selection activeCell="B26" sqref="B26:B28"/>
    </sheetView>
  </sheetViews>
  <sheetFormatPr defaultRowHeight="16.5"/>
  <cols>
    <col min="1" max="1" width="5.5" customWidth="1"/>
    <col min="2" max="2" width="11.5" customWidth="1"/>
    <col min="3" max="3" width="12.25" customWidth="1"/>
    <col min="4" max="4" width="6.375" customWidth="1"/>
    <col min="5" max="5" width="9.25" customWidth="1"/>
    <col min="6" max="6" width="5.5" style="42" customWidth="1"/>
    <col min="7" max="7" width="6.625" style="42" customWidth="1"/>
    <col min="8" max="8" width="10" style="42" customWidth="1"/>
    <col min="9" max="9" width="9" style="42"/>
    <col min="10" max="10" width="8.5" style="42" customWidth="1"/>
    <col min="11" max="11" width="8.375" style="42" customWidth="1"/>
  </cols>
  <sheetData>
    <row r="1" spans="1:11" ht="39.950000000000003" customHeight="1">
      <c r="A1" s="544" t="s">
        <v>186</v>
      </c>
      <c r="B1" s="544"/>
      <c r="C1" s="167" t="s">
        <v>187</v>
      </c>
      <c r="D1" s="112"/>
      <c r="E1" s="168" t="s">
        <v>188</v>
      </c>
      <c r="F1" s="504" t="s">
        <v>150</v>
      </c>
      <c r="G1" s="504"/>
      <c r="H1" s="504"/>
      <c r="I1" s="504"/>
      <c r="J1" s="504"/>
      <c r="K1" s="504"/>
    </row>
    <row r="2" spans="1:11">
      <c r="A2" s="23" t="s">
        <v>16</v>
      </c>
      <c r="B2" s="28" t="s">
        <v>17</v>
      </c>
      <c r="C2" s="24" t="s">
        <v>18</v>
      </c>
      <c r="D2" s="25" t="s">
        <v>20</v>
      </c>
      <c r="E2" s="28" t="s">
        <v>131</v>
      </c>
      <c r="F2" s="37" t="s">
        <v>130</v>
      </c>
      <c r="G2" s="37" t="s">
        <v>132</v>
      </c>
      <c r="H2" s="37" t="s">
        <v>189</v>
      </c>
      <c r="I2" s="38" t="s">
        <v>190</v>
      </c>
      <c r="J2" s="38" t="s">
        <v>191</v>
      </c>
      <c r="K2" s="38" t="s">
        <v>192</v>
      </c>
    </row>
    <row r="3" spans="1:11">
      <c r="A3" s="548" t="s">
        <v>0</v>
      </c>
      <c r="B3" s="482" t="s">
        <v>41</v>
      </c>
      <c r="C3" s="12" t="s">
        <v>29</v>
      </c>
      <c r="D3" s="6">
        <v>20</v>
      </c>
      <c r="E3" s="7">
        <f>D3*D$1/1000</f>
        <v>0</v>
      </c>
      <c r="F3" s="39" t="s">
        <v>88</v>
      </c>
      <c r="G3" s="238">
        <f>D3/90</f>
        <v>0.22222222222222221</v>
      </c>
      <c r="H3" s="229">
        <f>G3*2</f>
        <v>0.44444444444444442</v>
      </c>
      <c r="I3" s="229">
        <f>G3*15</f>
        <v>3.333333333333333</v>
      </c>
      <c r="J3" s="229">
        <f>G3*0</f>
        <v>0</v>
      </c>
      <c r="K3" s="229">
        <f>H3*4+I3*4+J3*9</f>
        <v>15.111111111111111</v>
      </c>
    </row>
    <row r="4" spans="1:11">
      <c r="A4" s="548"/>
      <c r="B4" s="482"/>
      <c r="C4" s="12" t="s">
        <v>42</v>
      </c>
      <c r="D4" s="9" t="s">
        <v>24</v>
      </c>
      <c r="E4" s="7"/>
      <c r="F4" s="77" t="s">
        <v>24</v>
      </c>
      <c r="G4" s="251"/>
      <c r="H4" s="221"/>
      <c r="I4" s="221"/>
      <c r="J4" s="221"/>
      <c r="K4" s="221">
        <f>H4*4+I4*4+J4*9</f>
        <v>0</v>
      </c>
    </row>
    <row r="5" spans="1:11">
      <c r="A5" s="548"/>
      <c r="B5" s="482"/>
      <c r="C5" s="12" t="s">
        <v>99</v>
      </c>
      <c r="D5" s="6">
        <v>5</v>
      </c>
      <c r="E5" s="7">
        <f t="shared" ref="E5:E42" si="0">D5*D$1/1000</f>
        <v>0</v>
      </c>
      <c r="F5" s="41" t="s">
        <v>112</v>
      </c>
      <c r="G5" s="327">
        <f>D5/30</f>
        <v>0.16666666666666666</v>
      </c>
      <c r="H5" s="229">
        <f>G5*7</f>
        <v>1.1666666666666665</v>
      </c>
      <c r="I5" s="229">
        <f>G5*0</f>
        <v>0</v>
      </c>
      <c r="J5" s="229">
        <f>G5*3</f>
        <v>0.5</v>
      </c>
      <c r="K5" s="229">
        <f t="shared" ref="K5:K10" si="1">H5*4+I5*4+J5*9</f>
        <v>9.1666666666666661</v>
      </c>
    </row>
    <row r="6" spans="1:11">
      <c r="A6" s="548"/>
      <c r="B6" s="482"/>
      <c r="C6" s="13" t="s">
        <v>43</v>
      </c>
      <c r="D6" s="6">
        <v>1.5</v>
      </c>
      <c r="E6" s="7">
        <f t="shared" si="0"/>
        <v>0</v>
      </c>
      <c r="F6" s="41" t="s">
        <v>112</v>
      </c>
      <c r="G6" s="327">
        <v>0.05</v>
      </c>
      <c r="H6" s="229">
        <f>G6*7</f>
        <v>0.35000000000000003</v>
      </c>
      <c r="I6" s="229">
        <f>G6*0</f>
        <v>0</v>
      </c>
      <c r="J6" s="229">
        <f>G6*7</f>
        <v>0.35000000000000003</v>
      </c>
      <c r="K6" s="229">
        <f t="shared" si="1"/>
        <v>4.5500000000000007</v>
      </c>
    </row>
    <row r="7" spans="1:11">
      <c r="A7" s="548"/>
      <c r="B7" s="482"/>
      <c r="C7" s="13" t="s">
        <v>22</v>
      </c>
      <c r="D7" s="6">
        <v>0.5</v>
      </c>
      <c r="E7" s="7">
        <f t="shared" si="0"/>
        <v>0</v>
      </c>
      <c r="F7" s="77" t="s">
        <v>24</v>
      </c>
      <c r="G7" s="251"/>
      <c r="H7" s="221"/>
      <c r="I7" s="221"/>
      <c r="J7" s="221"/>
      <c r="K7" s="221">
        <f t="shared" si="1"/>
        <v>0</v>
      </c>
    </row>
    <row r="8" spans="1:11">
      <c r="A8" s="548"/>
      <c r="B8" s="482"/>
      <c r="C8" s="13" t="s">
        <v>31</v>
      </c>
      <c r="D8" s="6">
        <v>3</v>
      </c>
      <c r="E8" s="7">
        <f t="shared" si="0"/>
        <v>0</v>
      </c>
      <c r="F8" s="39" t="s">
        <v>81</v>
      </c>
      <c r="G8" s="238">
        <v>0.03</v>
      </c>
      <c r="H8" s="221">
        <f>1*G8</f>
        <v>0.03</v>
      </c>
      <c r="I8" s="221">
        <f>G8*5</f>
        <v>0.15</v>
      </c>
      <c r="J8" s="221">
        <f>0</f>
        <v>0</v>
      </c>
      <c r="K8" s="229">
        <f t="shared" si="1"/>
        <v>0.72</v>
      </c>
    </row>
    <row r="9" spans="1:11">
      <c r="A9" s="548"/>
      <c r="B9" s="482"/>
      <c r="C9" s="13" t="s">
        <v>287</v>
      </c>
      <c r="D9" s="6">
        <v>8</v>
      </c>
      <c r="E9" s="7">
        <f t="shared" si="0"/>
        <v>0</v>
      </c>
      <c r="F9" s="41" t="s">
        <v>75</v>
      </c>
      <c r="G9" s="327">
        <f>D9/30</f>
        <v>0.26666666666666666</v>
      </c>
      <c r="H9" s="229">
        <f>G9*8</f>
        <v>2.1333333333333333</v>
      </c>
      <c r="I9" s="229">
        <f>G9*12</f>
        <v>3.2</v>
      </c>
      <c r="J9" s="229">
        <f>G9*4</f>
        <v>1.0666666666666667</v>
      </c>
      <c r="K9" s="229">
        <f t="shared" si="1"/>
        <v>30.933333333333337</v>
      </c>
    </row>
    <row r="10" spans="1:11">
      <c r="A10" s="548"/>
      <c r="B10" s="20" t="s">
        <v>44</v>
      </c>
      <c r="C10" s="13" t="s">
        <v>45</v>
      </c>
      <c r="D10" s="9" t="s">
        <v>46</v>
      </c>
      <c r="E10" s="7"/>
      <c r="F10" s="41" t="s">
        <v>88</v>
      </c>
      <c r="G10" s="327">
        <v>1</v>
      </c>
      <c r="H10" s="229">
        <f>G10*2</f>
        <v>2</v>
      </c>
      <c r="I10" s="229">
        <f>G10*15</f>
        <v>15</v>
      </c>
      <c r="J10" s="229">
        <f>G10*0</f>
        <v>0</v>
      </c>
      <c r="K10" s="229">
        <f t="shared" si="1"/>
        <v>68</v>
      </c>
    </row>
    <row r="11" spans="1:11">
      <c r="A11" s="447" t="s">
        <v>1</v>
      </c>
      <c r="B11" s="447" t="s">
        <v>12</v>
      </c>
      <c r="C11" s="13" t="s">
        <v>26</v>
      </c>
      <c r="D11" s="10">
        <v>3</v>
      </c>
      <c r="E11" s="7">
        <f t="shared" si="0"/>
        <v>0</v>
      </c>
      <c r="F11" s="38" t="s">
        <v>88</v>
      </c>
      <c r="G11" s="547">
        <v>2</v>
      </c>
      <c r="H11" s="547">
        <f>G11*2</f>
        <v>4</v>
      </c>
      <c r="I11" s="547">
        <f>G11*15</f>
        <v>30</v>
      </c>
      <c r="J11" s="547">
        <v>0</v>
      </c>
      <c r="K11" s="547">
        <f>H11*4+I11*4+J11*9</f>
        <v>136</v>
      </c>
    </row>
    <row r="12" spans="1:11">
      <c r="A12" s="447"/>
      <c r="B12" s="447"/>
      <c r="C12" s="14" t="s">
        <v>27</v>
      </c>
      <c r="D12" s="10">
        <v>2</v>
      </c>
      <c r="E12" s="7">
        <f t="shared" si="0"/>
        <v>0</v>
      </c>
      <c r="F12" s="39" t="s">
        <v>88</v>
      </c>
      <c r="G12" s="547"/>
      <c r="H12" s="547"/>
      <c r="I12" s="547"/>
      <c r="J12" s="547"/>
      <c r="K12" s="547"/>
    </row>
    <row r="13" spans="1:11">
      <c r="A13" s="447"/>
      <c r="B13" s="447"/>
      <c r="C13" s="14" t="s">
        <v>28</v>
      </c>
      <c r="D13" s="10">
        <v>35</v>
      </c>
      <c r="E13" s="7">
        <f t="shared" si="0"/>
        <v>0</v>
      </c>
      <c r="F13" s="38" t="s">
        <v>88</v>
      </c>
      <c r="G13" s="547"/>
      <c r="H13" s="547"/>
      <c r="I13" s="547"/>
      <c r="J13" s="547"/>
      <c r="K13" s="547"/>
    </row>
    <row r="14" spans="1:11">
      <c r="A14" s="447"/>
      <c r="B14" s="447" t="s">
        <v>47</v>
      </c>
      <c r="C14" s="13" t="s">
        <v>48</v>
      </c>
      <c r="D14" s="6">
        <v>30</v>
      </c>
      <c r="E14" s="7">
        <f t="shared" si="0"/>
        <v>0</v>
      </c>
      <c r="F14" s="39" t="s">
        <v>112</v>
      </c>
      <c r="G14" s="238">
        <f>D14/50</f>
        <v>0.6</v>
      </c>
      <c r="H14" s="229">
        <f>G14*7</f>
        <v>4.2</v>
      </c>
      <c r="I14" s="229">
        <f>G14*0</f>
        <v>0</v>
      </c>
      <c r="J14" s="229">
        <f>G14*5</f>
        <v>3</v>
      </c>
      <c r="K14" s="229">
        <f t="shared" ref="K14:K43" si="2">H14*4+I14*4+J14*9</f>
        <v>43.8</v>
      </c>
    </row>
    <row r="15" spans="1:11">
      <c r="A15" s="447"/>
      <c r="B15" s="447"/>
      <c r="C15" s="14" t="s">
        <v>49</v>
      </c>
      <c r="D15" s="6">
        <v>10</v>
      </c>
      <c r="E15" s="7">
        <f t="shared" si="0"/>
        <v>0</v>
      </c>
      <c r="F15" s="41" t="s">
        <v>81</v>
      </c>
      <c r="G15" s="229">
        <f>D15/100</f>
        <v>0.1</v>
      </c>
      <c r="H15" s="221">
        <f>1*G15</f>
        <v>0.1</v>
      </c>
      <c r="I15" s="221">
        <f>G15*5</f>
        <v>0.5</v>
      </c>
      <c r="J15" s="221">
        <f>0</f>
        <v>0</v>
      </c>
      <c r="K15" s="229">
        <f t="shared" si="2"/>
        <v>2.4</v>
      </c>
    </row>
    <row r="16" spans="1:11">
      <c r="A16" s="447"/>
      <c r="B16" s="447"/>
      <c r="C16" s="14" t="s">
        <v>50</v>
      </c>
      <c r="D16" s="6">
        <v>10</v>
      </c>
      <c r="E16" s="7">
        <f t="shared" si="0"/>
        <v>0</v>
      </c>
      <c r="F16" s="41" t="s">
        <v>81</v>
      </c>
      <c r="G16" s="229">
        <f>D16/100</f>
        <v>0.1</v>
      </c>
      <c r="H16" s="221">
        <f>1*G16</f>
        <v>0.1</v>
      </c>
      <c r="I16" s="221">
        <f>G16*5</f>
        <v>0.5</v>
      </c>
      <c r="J16" s="221">
        <f>0</f>
        <v>0</v>
      </c>
      <c r="K16" s="229">
        <f t="shared" si="2"/>
        <v>2.4</v>
      </c>
    </row>
    <row r="17" spans="1:11">
      <c r="A17" s="447"/>
      <c r="B17" s="447"/>
      <c r="C17" s="14" t="s">
        <v>51</v>
      </c>
      <c r="D17" s="6">
        <v>10</v>
      </c>
      <c r="E17" s="7">
        <f t="shared" si="0"/>
        <v>0</v>
      </c>
      <c r="F17" s="41" t="s">
        <v>81</v>
      </c>
      <c r="G17" s="229">
        <f>D17/100</f>
        <v>0.1</v>
      </c>
      <c r="H17" s="221">
        <f>1*G17</f>
        <v>0.1</v>
      </c>
      <c r="I17" s="221">
        <f>G17*5</f>
        <v>0.5</v>
      </c>
      <c r="J17" s="221">
        <f>0</f>
        <v>0</v>
      </c>
      <c r="K17" s="229">
        <f t="shared" si="2"/>
        <v>2.4</v>
      </c>
    </row>
    <row r="18" spans="1:11">
      <c r="A18" s="447"/>
      <c r="B18" s="447"/>
      <c r="C18" s="14" t="s">
        <v>52</v>
      </c>
      <c r="D18" s="6">
        <v>0.5</v>
      </c>
      <c r="E18" s="7">
        <f t="shared" si="0"/>
        <v>0</v>
      </c>
      <c r="F18" s="77" t="s">
        <v>24</v>
      </c>
      <c r="G18" s="251"/>
      <c r="H18" s="221"/>
      <c r="I18" s="221"/>
      <c r="J18" s="221"/>
      <c r="K18" s="221">
        <f t="shared" si="2"/>
        <v>0</v>
      </c>
    </row>
    <row r="19" spans="1:11">
      <c r="A19" s="447"/>
      <c r="B19" s="447"/>
      <c r="C19" s="14" t="s">
        <v>53</v>
      </c>
      <c r="D19" s="6">
        <v>0.5</v>
      </c>
      <c r="E19" s="7">
        <f t="shared" si="0"/>
        <v>0</v>
      </c>
      <c r="F19" s="77" t="s">
        <v>24</v>
      </c>
      <c r="G19" s="251"/>
      <c r="H19" s="221"/>
      <c r="I19" s="221"/>
      <c r="J19" s="221"/>
      <c r="K19" s="221">
        <f t="shared" si="2"/>
        <v>0</v>
      </c>
    </row>
    <row r="20" spans="1:11">
      <c r="A20" s="447"/>
      <c r="B20" s="447"/>
      <c r="C20" s="14" t="s">
        <v>61</v>
      </c>
      <c r="D20" s="6">
        <v>3</v>
      </c>
      <c r="E20" s="7">
        <f t="shared" si="0"/>
        <v>0</v>
      </c>
      <c r="F20" s="38" t="s">
        <v>110</v>
      </c>
      <c r="G20" s="229">
        <f>D20/5</f>
        <v>0.6</v>
      </c>
      <c r="H20" s="229">
        <f>0</f>
        <v>0</v>
      </c>
      <c r="I20" s="229">
        <f>G20*0</f>
        <v>0</v>
      </c>
      <c r="J20" s="229">
        <f>G20*5</f>
        <v>3</v>
      </c>
      <c r="K20" s="229">
        <f t="shared" si="2"/>
        <v>27</v>
      </c>
    </row>
    <row r="21" spans="1:11">
      <c r="A21" s="447"/>
      <c r="B21" s="447" t="s">
        <v>54</v>
      </c>
      <c r="C21" s="14" t="s">
        <v>55</v>
      </c>
      <c r="D21" s="6">
        <v>60</v>
      </c>
      <c r="E21" s="7">
        <f t="shared" si="0"/>
        <v>0</v>
      </c>
      <c r="F21" s="39" t="s">
        <v>112</v>
      </c>
      <c r="G21" s="238">
        <f>D21/140</f>
        <v>0.42857142857142855</v>
      </c>
      <c r="H21" s="229">
        <f>G21*7</f>
        <v>3</v>
      </c>
      <c r="I21" s="229">
        <f>G21*0</f>
        <v>0</v>
      </c>
      <c r="J21" s="229">
        <f>G21*5</f>
        <v>2.1428571428571428</v>
      </c>
      <c r="K21" s="229">
        <f t="shared" si="2"/>
        <v>31.285714285714285</v>
      </c>
    </row>
    <row r="22" spans="1:11">
      <c r="A22" s="447"/>
      <c r="B22" s="447"/>
      <c r="C22" s="14" t="s">
        <v>37</v>
      </c>
      <c r="D22" s="6">
        <v>0.3</v>
      </c>
      <c r="E22" s="7">
        <f t="shared" si="0"/>
        <v>0</v>
      </c>
      <c r="F22" s="77" t="s">
        <v>24</v>
      </c>
      <c r="G22" s="251"/>
      <c r="H22" s="221"/>
      <c r="I22" s="221"/>
      <c r="J22" s="221"/>
      <c r="K22" s="221">
        <f t="shared" si="2"/>
        <v>0</v>
      </c>
    </row>
    <row r="23" spans="1:11">
      <c r="A23" s="447"/>
      <c r="B23" s="447"/>
      <c r="C23" s="14" t="s">
        <v>52</v>
      </c>
      <c r="D23" s="6">
        <v>0.3</v>
      </c>
      <c r="E23" s="7">
        <f t="shared" si="0"/>
        <v>0</v>
      </c>
      <c r="F23" s="77" t="s">
        <v>24</v>
      </c>
      <c r="G23" s="251"/>
      <c r="H23" s="221"/>
      <c r="I23" s="221"/>
      <c r="J23" s="221"/>
      <c r="K23" s="221">
        <f>H23*4+I23*4+J23*9</f>
        <v>0</v>
      </c>
    </row>
    <row r="24" spans="1:11">
      <c r="A24" s="447"/>
      <c r="B24" s="447"/>
      <c r="C24" s="14" t="s">
        <v>32</v>
      </c>
      <c r="D24" s="6">
        <v>0.3</v>
      </c>
      <c r="E24" s="7">
        <f t="shared" si="0"/>
        <v>0</v>
      </c>
      <c r="F24" s="77" t="s">
        <v>24</v>
      </c>
      <c r="G24" s="251"/>
      <c r="H24" s="221"/>
      <c r="I24" s="221"/>
      <c r="J24" s="221"/>
      <c r="K24" s="221">
        <f>H24*4+I24*4+J24*9</f>
        <v>0</v>
      </c>
    </row>
    <row r="25" spans="1:11">
      <c r="A25" s="447"/>
      <c r="B25" s="447"/>
      <c r="C25" s="14" t="s">
        <v>61</v>
      </c>
      <c r="D25" s="6">
        <v>2</v>
      </c>
      <c r="E25" s="7">
        <f t="shared" si="0"/>
        <v>0</v>
      </c>
      <c r="F25" s="38" t="s">
        <v>110</v>
      </c>
      <c r="G25" s="229">
        <f>D25/5</f>
        <v>0.4</v>
      </c>
      <c r="H25" s="229">
        <f>0</f>
        <v>0</v>
      </c>
      <c r="I25" s="229">
        <f>G25*0</f>
        <v>0</v>
      </c>
      <c r="J25" s="229">
        <f>G25*5</f>
        <v>2</v>
      </c>
      <c r="K25" s="229">
        <f t="shared" si="2"/>
        <v>18</v>
      </c>
    </row>
    <row r="26" spans="1:11">
      <c r="A26" s="447"/>
      <c r="B26" s="447" t="s">
        <v>678</v>
      </c>
      <c r="C26" s="14" t="s">
        <v>14</v>
      </c>
      <c r="D26" s="6">
        <v>40</v>
      </c>
      <c r="E26" s="7">
        <f t="shared" si="0"/>
        <v>0</v>
      </c>
      <c r="F26" s="38" t="s">
        <v>81</v>
      </c>
      <c r="G26" s="229">
        <f>D26/100</f>
        <v>0.4</v>
      </c>
      <c r="H26" s="229">
        <f>1*G26</f>
        <v>0.4</v>
      </c>
      <c r="I26" s="221">
        <f>G26*5</f>
        <v>2</v>
      </c>
      <c r="J26" s="229">
        <f>0</f>
        <v>0</v>
      </c>
      <c r="K26" s="229">
        <f t="shared" si="2"/>
        <v>9.6</v>
      </c>
    </row>
    <row r="27" spans="1:11">
      <c r="A27" s="447"/>
      <c r="B27" s="447"/>
      <c r="C27" s="14" t="s">
        <v>34</v>
      </c>
      <c r="D27" s="6">
        <v>0.5</v>
      </c>
      <c r="E27" s="7">
        <f t="shared" si="0"/>
        <v>0</v>
      </c>
      <c r="F27" s="77" t="s">
        <v>24</v>
      </c>
      <c r="G27" s="251"/>
      <c r="H27" s="221"/>
      <c r="I27" s="221"/>
      <c r="J27" s="221"/>
      <c r="K27" s="221">
        <f>H27*4+I27*4+J27*9</f>
        <v>0</v>
      </c>
    </row>
    <row r="28" spans="1:11">
      <c r="A28" s="447"/>
      <c r="B28" s="447"/>
      <c r="C28" s="14" t="s">
        <v>61</v>
      </c>
      <c r="D28" s="6">
        <v>2</v>
      </c>
      <c r="E28" s="7">
        <f t="shared" si="0"/>
        <v>0</v>
      </c>
      <c r="F28" s="38" t="s">
        <v>110</v>
      </c>
      <c r="G28" s="229">
        <f>D28/5</f>
        <v>0.4</v>
      </c>
      <c r="H28" s="229">
        <f>0</f>
        <v>0</v>
      </c>
      <c r="I28" s="229">
        <f>G28*0</f>
        <v>0</v>
      </c>
      <c r="J28" s="229">
        <f>G28*5</f>
        <v>2</v>
      </c>
      <c r="K28" s="229">
        <f t="shared" si="2"/>
        <v>18</v>
      </c>
    </row>
    <row r="29" spans="1:11">
      <c r="A29" s="447"/>
      <c r="B29" s="447" t="s">
        <v>56</v>
      </c>
      <c r="C29" s="14" t="s">
        <v>57</v>
      </c>
      <c r="D29" s="6">
        <v>10</v>
      </c>
      <c r="E29" s="7">
        <f t="shared" si="0"/>
        <v>0</v>
      </c>
      <c r="F29" s="39" t="s">
        <v>112</v>
      </c>
      <c r="G29" s="238">
        <f>D29/30</f>
        <v>0.33333333333333331</v>
      </c>
      <c r="H29" s="229">
        <f>G29*7</f>
        <v>2.333333333333333</v>
      </c>
      <c r="I29" s="229">
        <f>G29*0</f>
        <v>0</v>
      </c>
      <c r="J29" s="229">
        <f>G29*5</f>
        <v>1.6666666666666665</v>
      </c>
      <c r="K29" s="229">
        <f t="shared" si="2"/>
        <v>24.333333333333329</v>
      </c>
    </row>
    <row r="30" spans="1:11">
      <c r="A30" s="447"/>
      <c r="B30" s="447"/>
      <c r="C30" s="14" t="s">
        <v>34</v>
      </c>
      <c r="D30" s="6">
        <v>10</v>
      </c>
      <c r="E30" s="7">
        <f t="shared" si="0"/>
        <v>0</v>
      </c>
      <c r="F30" s="196" t="s">
        <v>81</v>
      </c>
      <c r="G30" s="229">
        <f>D30/100</f>
        <v>0.1</v>
      </c>
      <c r="H30" s="229">
        <f>1*G30</f>
        <v>0.1</v>
      </c>
      <c r="I30" s="221">
        <f>G30*5</f>
        <v>0.5</v>
      </c>
      <c r="J30" s="229">
        <f>0</f>
        <v>0</v>
      </c>
      <c r="K30" s="229">
        <f t="shared" ref="K30" si="3">H30*4+I30*4+J30*9</f>
        <v>2.4</v>
      </c>
    </row>
    <row r="31" spans="1:11">
      <c r="A31" s="447"/>
      <c r="B31" s="447"/>
      <c r="C31" s="14" t="s">
        <v>58</v>
      </c>
      <c r="D31" s="6">
        <v>0.01</v>
      </c>
      <c r="E31" s="7">
        <f t="shared" si="0"/>
        <v>0</v>
      </c>
      <c r="F31" s="77" t="s">
        <v>24</v>
      </c>
      <c r="G31" s="251"/>
      <c r="H31" s="221"/>
      <c r="I31" s="221"/>
      <c r="J31" s="221"/>
      <c r="K31" s="221">
        <f>H31*4+I31*4+J31*9</f>
        <v>0</v>
      </c>
    </row>
    <row r="32" spans="1:11">
      <c r="A32" s="447"/>
      <c r="B32" s="447"/>
      <c r="C32" s="14" t="s">
        <v>36</v>
      </c>
      <c r="D32" s="6">
        <v>1.5</v>
      </c>
      <c r="E32" s="7">
        <f t="shared" si="0"/>
        <v>0</v>
      </c>
      <c r="F32" s="77" t="s">
        <v>24</v>
      </c>
      <c r="G32" s="251"/>
      <c r="H32" s="221"/>
      <c r="I32" s="221"/>
      <c r="J32" s="221"/>
      <c r="K32" s="221">
        <f>H32*4+I32*4+J32*9</f>
        <v>0</v>
      </c>
    </row>
    <row r="33" spans="1:11">
      <c r="A33" s="447"/>
      <c r="B33" s="447"/>
      <c r="C33" s="14" t="s">
        <v>59</v>
      </c>
      <c r="D33" s="6">
        <v>0.3</v>
      </c>
      <c r="E33" s="7">
        <f t="shared" si="0"/>
        <v>0</v>
      </c>
      <c r="F33" s="77" t="s">
        <v>24</v>
      </c>
      <c r="G33" s="251"/>
      <c r="H33" s="221"/>
      <c r="I33" s="221"/>
      <c r="J33" s="221"/>
      <c r="K33" s="221">
        <f>H33*4+I33*4+J33*9</f>
        <v>0</v>
      </c>
    </row>
    <row r="34" spans="1:11">
      <c r="A34" s="447"/>
      <c r="B34" s="447"/>
      <c r="C34" s="14" t="s">
        <v>38</v>
      </c>
      <c r="D34" s="6">
        <v>2</v>
      </c>
      <c r="E34" s="7">
        <f t="shared" si="0"/>
        <v>0</v>
      </c>
      <c r="F34" s="38" t="s">
        <v>81</v>
      </c>
      <c r="G34" s="229">
        <f>D34/100</f>
        <v>0.02</v>
      </c>
      <c r="H34" s="229">
        <f>1*G34</f>
        <v>0.02</v>
      </c>
      <c r="I34" s="221">
        <f>G34*5</f>
        <v>0.1</v>
      </c>
      <c r="J34" s="229">
        <f>0</f>
        <v>0</v>
      </c>
      <c r="K34" s="229">
        <f t="shared" si="2"/>
        <v>0.48000000000000004</v>
      </c>
    </row>
    <row r="35" spans="1:11">
      <c r="A35" s="447" t="s">
        <v>2</v>
      </c>
      <c r="B35" s="549" t="s">
        <v>500</v>
      </c>
      <c r="C35" s="216" t="s">
        <v>502</v>
      </c>
      <c r="D35" s="46">
        <v>20</v>
      </c>
      <c r="E35" s="7">
        <f t="shared" si="0"/>
        <v>0</v>
      </c>
      <c r="F35" s="41" t="s">
        <v>88</v>
      </c>
      <c r="G35" s="327">
        <f>D35/20</f>
        <v>1</v>
      </c>
      <c r="H35" s="229">
        <f>G35*2</f>
        <v>2</v>
      </c>
      <c r="I35" s="229">
        <f>G35*15</f>
        <v>15</v>
      </c>
      <c r="J35" s="229">
        <f>G35*0</f>
        <v>0</v>
      </c>
      <c r="K35" s="229">
        <f t="shared" si="2"/>
        <v>68</v>
      </c>
    </row>
    <row r="36" spans="1:11" s="182" customFormat="1">
      <c r="A36" s="447"/>
      <c r="B36" s="550"/>
      <c r="C36" s="216" t="s">
        <v>503</v>
      </c>
      <c r="D36" s="46">
        <v>2</v>
      </c>
      <c r="E36" s="7">
        <f t="shared" si="0"/>
        <v>0</v>
      </c>
      <c r="F36" s="196" t="s">
        <v>110</v>
      </c>
      <c r="G36" s="229">
        <f>D36/8</f>
        <v>0.25</v>
      </c>
      <c r="H36" s="229">
        <f>0</f>
        <v>0</v>
      </c>
      <c r="I36" s="229">
        <f>G36*0</f>
        <v>0</v>
      </c>
      <c r="J36" s="229">
        <f>G36*5</f>
        <v>1.25</v>
      </c>
      <c r="K36" s="229">
        <f t="shared" ref="K36:K42" si="4">H36*4+I36*4+J36*9</f>
        <v>11.25</v>
      </c>
    </row>
    <row r="37" spans="1:11" s="182" customFormat="1">
      <c r="A37" s="447"/>
      <c r="B37" s="550"/>
      <c r="C37" s="216" t="s">
        <v>184</v>
      </c>
      <c r="D37" s="46">
        <v>10</v>
      </c>
      <c r="E37" s="7">
        <f t="shared" si="0"/>
        <v>0</v>
      </c>
      <c r="F37" s="39" t="s">
        <v>112</v>
      </c>
      <c r="G37" s="238">
        <f>D37/55</f>
        <v>0.18181818181818182</v>
      </c>
      <c r="H37" s="229">
        <f>G37*7</f>
        <v>1.2727272727272727</v>
      </c>
      <c r="I37" s="229">
        <f>G37*0</f>
        <v>0</v>
      </c>
      <c r="J37" s="229">
        <f>G37*5</f>
        <v>0.90909090909090917</v>
      </c>
      <c r="K37" s="229">
        <f t="shared" si="4"/>
        <v>13.272727272727273</v>
      </c>
    </row>
    <row r="38" spans="1:11" s="182" customFormat="1">
      <c r="A38" s="447"/>
      <c r="B38" s="550"/>
      <c r="C38" s="216" t="s">
        <v>504</v>
      </c>
      <c r="D38" s="46">
        <v>3</v>
      </c>
      <c r="E38" s="7">
        <f t="shared" si="0"/>
        <v>0</v>
      </c>
      <c r="F38" s="46"/>
      <c r="G38" s="217"/>
      <c r="H38" s="223"/>
      <c r="I38" s="229">
        <f>D38</f>
        <v>3</v>
      </c>
      <c r="J38" s="229"/>
      <c r="K38" s="229">
        <f t="shared" si="4"/>
        <v>12</v>
      </c>
    </row>
    <row r="39" spans="1:11" s="182" customFormat="1">
      <c r="A39" s="447"/>
      <c r="B39" s="551"/>
      <c r="C39" s="216" t="s">
        <v>83</v>
      </c>
      <c r="D39" s="46">
        <v>3</v>
      </c>
      <c r="E39" s="7">
        <f t="shared" si="0"/>
        <v>0</v>
      </c>
      <c r="F39" s="196" t="s">
        <v>110</v>
      </c>
      <c r="G39" s="229">
        <f>D39/6</f>
        <v>0.5</v>
      </c>
      <c r="H39" s="223"/>
      <c r="I39" s="229"/>
      <c r="J39" s="229">
        <v>3</v>
      </c>
      <c r="K39" s="229">
        <f t="shared" si="4"/>
        <v>27</v>
      </c>
    </row>
    <row r="40" spans="1:11" s="182" customFormat="1">
      <c r="A40" s="447"/>
      <c r="B40" s="440" t="s">
        <v>589</v>
      </c>
      <c r="C40" s="255" t="s">
        <v>129</v>
      </c>
      <c r="D40" s="256">
        <v>120</v>
      </c>
      <c r="E40" s="7">
        <f t="shared" si="0"/>
        <v>0</v>
      </c>
      <c r="F40" s="84" t="s">
        <v>75</v>
      </c>
      <c r="G40" s="221">
        <f>D40/240</f>
        <v>0.5</v>
      </c>
      <c r="H40" s="221">
        <f>G40*8</f>
        <v>4</v>
      </c>
      <c r="I40" s="221">
        <f>G40*12</f>
        <v>6</v>
      </c>
      <c r="J40" s="221">
        <f>G40*4</f>
        <v>2</v>
      </c>
      <c r="K40" s="221">
        <f t="shared" si="4"/>
        <v>58</v>
      </c>
    </row>
    <row r="41" spans="1:11" s="182" customFormat="1">
      <c r="A41" s="447"/>
      <c r="B41" s="434"/>
      <c r="C41" s="14" t="s">
        <v>463</v>
      </c>
      <c r="D41" s="31">
        <v>150</v>
      </c>
      <c r="E41" s="7">
        <f t="shared" si="0"/>
        <v>0</v>
      </c>
      <c r="F41" s="186" t="s">
        <v>8</v>
      </c>
      <c r="G41" s="186">
        <f>D41/150</f>
        <v>1</v>
      </c>
      <c r="H41" s="186">
        <f>G41*0</f>
        <v>0</v>
      </c>
      <c r="I41" s="186">
        <f>G41*15</f>
        <v>15</v>
      </c>
      <c r="J41" s="186">
        <f>G41*0</f>
        <v>0</v>
      </c>
      <c r="K41" s="186">
        <f t="shared" si="4"/>
        <v>60</v>
      </c>
    </row>
    <row r="42" spans="1:11">
      <c r="A42" s="447"/>
      <c r="B42" s="435"/>
      <c r="C42" s="297" t="s">
        <v>504</v>
      </c>
      <c r="D42" s="305">
        <v>3</v>
      </c>
      <c r="E42" s="7">
        <f t="shared" si="0"/>
        <v>0</v>
      </c>
      <c r="F42" s="84"/>
      <c r="G42" s="221">
        <f>D42</f>
        <v>3</v>
      </c>
      <c r="H42" s="221"/>
      <c r="I42" s="221">
        <f>+G42</f>
        <v>3</v>
      </c>
      <c r="J42" s="221"/>
      <c r="K42" s="221">
        <f t="shared" si="4"/>
        <v>12</v>
      </c>
    </row>
    <row r="43" spans="1:11" ht="21">
      <c r="A43" s="487" t="s">
        <v>499</v>
      </c>
      <c r="B43" s="487"/>
      <c r="C43" s="234"/>
      <c r="D43" s="235"/>
      <c r="E43" s="235"/>
      <c r="F43" s="236"/>
      <c r="G43" s="236"/>
      <c r="H43" s="237">
        <f>SUM(H3:H42)</f>
        <v>27.750505050505048</v>
      </c>
      <c r="I43" s="237">
        <f>SUM(I3:I42)</f>
        <v>97.783333333333331</v>
      </c>
      <c r="J43" s="237">
        <f>SUM(J3:J42)</f>
        <v>22.885281385281385</v>
      </c>
      <c r="K43" s="237">
        <f t="shared" si="2"/>
        <v>708.10288600288595</v>
      </c>
    </row>
    <row r="44" spans="1:11" ht="21">
      <c r="A44" s="461" t="s">
        <v>537</v>
      </c>
      <c r="B44" s="462"/>
      <c r="C44" s="261"/>
      <c r="D44" s="261"/>
      <c r="E44" s="261"/>
      <c r="F44" s="262"/>
      <c r="G44" s="262"/>
      <c r="H44" s="326">
        <f>+H43*4/K43</f>
        <v>0.15675973420840963</v>
      </c>
      <c r="I44" s="326">
        <f>+I43*4/K43</f>
        <v>0.55236794124821464</v>
      </c>
      <c r="J44" s="326">
        <f>+J43*9/K43</f>
        <v>0.2908723245433758</v>
      </c>
      <c r="K44" s="326">
        <f>+H44+I44+J44</f>
        <v>1</v>
      </c>
    </row>
  </sheetData>
  <mergeCells count="20">
    <mergeCell ref="A43:B43"/>
    <mergeCell ref="A44:B44"/>
    <mergeCell ref="B35:B39"/>
    <mergeCell ref="B40:B42"/>
    <mergeCell ref="J11:J13"/>
    <mergeCell ref="A35:A42"/>
    <mergeCell ref="K11:K13"/>
    <mergeCell ref="A1:B1"/>
    <mergeCell ref="F1:K1"/>
    <mergeCell ref="B3:B9"/>
    <mergeCell ref="B11:B13"/>
    <mergeCell ref="G11:G13"/>
    <mergeCell ref="H11:H13"/>
    <mergeCell ref="A11:A34"/>
    <mergeCell ref="A3:A10"/>
    <mergeCell ref="I11:I13"/>
    <mergeCell ref="B29:B34"/>
    <mergeCell ref="B21:B25"/>
    <mergeCell ref="B14:B20"/>
    <mergeCell ref="B26:B28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6" zoomScale="70" zoomScaleNormal="70" workbookViewId="0">
      <selection activeCell="B15" sqref="B15:B18"/>
    </sheetView>
  </sheetViews>
  <sheetFormatPr defaultColWidth="9" defaultRowHeight="16.5"/>
  <cols>
    <col min="1" max="1" width="5.5" style="182" customWidth="1"/>
    <col min="2" max="2" width="11.5" style="182" customWidth="1"/>
    <col min="3" max="3" width="12.25" style="182" customWidth="1"/>
    <col min="4" max="4" width="6.375" style="182" customWidth="1"/>
    <col min="5" max="5" width="9.125" style="182" customWidth="1"/>
    <col min="6" max="6" width="5.5" style="80" customWidth="1"/>
    <col min="7" max="7" width="6.625" style="80" customWidth="1"/>
    <col min="8" max="8" width="10" style="80" customWidth="1"/>
    <col min="9" max="9" width="9" style="80"/>
    <col min="10" max="10" width="7.75" style="80" customWidth="1"/>
    <col min="11" max="11" width="8.375" style="80" customWidth="1"/>
    <col min="12" max="16384" width="9" style="182"/>
  </cols>
  <sheetData>
    <row r="1" spans="1:11" ht="39.950000000000003" customHeight="1">
      <c r="A1" s="544" t="s">
        <v>186</v>
      </c>
      <c r="B1" s="544"/>
      <c r="C1" s="167" t="s">
        <v>187</v>
      </c>
      <c r="D1" s="112"/>
      <c r="E1" s="168" t="s">
        <v>188</v>
      </c>
      <c r="F1" s="504" t="s">
        <v>150</v>
      </c>
      <c r="G1" s="504"/>
      <c r="H1" s="504"/>
      <c r="I1" s="504"/>
      <c r="J1" s="504"/>
      <c r="K1" s="504"/>
    </row>
    <row r="2" spans="1:11">
      <c r="A2" s="23" t="s">
        <v>16</v>
      </c>
      <c r="B2" s="28" t="s">
        <v>17</v>
      </c>
      <c r="C2" s="24" t="s">
        <v>18</v>
      </c>
      <c r="D2" s="25" t="s">
        <v>20</v>
      </c>
      <c r="E2" s="28" t="s">
        <v>131</v>
      </c>
      <c r="F2" s="37" t="s">
        <v>130</v>
      </c>
      <c r="G2" s="37" t="s">
        <v>132</v>
      </c>
      <c r="H2" s="37" t="s">
        <v>189</v>
      </c>
      <c r="I2" s="196" t="s">
        <v>190</v>
      </c>
      <c r="J2" s="196" t="s">
        <v>191</v>
      </c>
      <c r="K2" s="196" t="s">
        <v>192</v>
      </c>
    </row>
    <row r="3" spans="1:11">
      <c r="A3" s="438" t="s">
        <v>0</v>
      </c>
      <c r="B3" s="193" t="s">
        <v>501</v>
      </c>
      <c r="C3" s="12" t="s">
        <v>129</v>
      </c>
      <c r="D3" s="58">
        <v>120</v>
      </c>
      <c r="E3" s="7">
        <f>D3*D$1/1000</f>
        <v>0</v>
      </c>
      <c r="F3" s="78" t="s">
        <v>75</v>
      </c>
      <c r="G3" s="251">
        <f>D3/240</f>
        <v>0.5</v>
      </c>
      <c r="H3" s="221">
        <f>G3*8</f>
        <v>4</v>
      </c>
      <c r="I3" s="221">
        <f>G3*12</f>
        <v>6</v>
      </c>
      <c r="J3" s="221">
        <f>G3*4</f>
        <v>2</v>
      </c>
      <c r="K3" s="221">
        <f>H3*4+I3*4+J3*9</f>
        <v>58</v>
      </c>
    </row>
    <row r="4" spans="1:11">
      <c r="A4" s="439"/>
      <c r="B4" s="482" t="s">
        <v>590</v>
      </c>
      <c r="C4" s="552" t="s">
        <v>301</v>
      </c>
      <c r="D4" s="497">
        <v>70</v>
      </c>
      <c r="E4" s="7">
        <f t="shared" ref="E4:E27" si="0">D4*D$1/1000</f>
        <v>0</v>
      </c>
      <c r="F4" s="78" t="s">
        <v>88</v>
      </c>
      <c r="G4" s="324">
        <v>1.5</v>
      </c>
      <c r="H4" s="221">
        <f>G4*2</f>
        <v>3</v>
      </c>
      <c r="I4" s="221">
        <f>G4*15</f>
        <v>22.5</v>
      </c>
      <c r="J4" s="221">
        <f>G4*0</f>
        <v>0</v>
      </c>
      <c r="K4" s="221">
        <f t="shared" ref="K4:K5" si="1">H4*4+I4*4+J4*9</f>
        <v>102</v>
      </c>
    </row>
    <row r="5" spans="1:11">
      <c r="A5" s="455"/>
      <c r="B5" s="482"/>
      <c r="C5" s="553"/>
      <c r="D5" s="499"/>
      <c r="E5" s="7">
        <f t="shared" si="0"/>
        <v>0</v>
      </c>
      <c r="F5" s="78" t="s">
        <v>112</v>
      </c>
      <c r="G5" s="324">
        <v>0.2</v>
      </c>
      <c r="H5" s="221">
        <f>G5*7</f>
        <v>1.4000000000000001</v>
      </c>
      <c r="I5" s="221">
        <f>G5*0</f>
        <v>0</v>
      </c>
      <c r="J5" s="221">
        <f>G5*5</f>
        <v>1</v>
      </c>
      <c r="K5" s="221">
        <f t="shared" si="1"/>
        <v>14.600000000000001</v>
      </c>
    </row>
    <row r="6" spans="1:11">
      <c r="A6" s="440" t="s">
        <v>1</v>
      </c>
      <c r="B6" s="441" t="s">
        <v>119</v>
      </c>
      <c r="C6" s="14" t="s">
        <v>28</v>
      </c>
      <c r="D6" s="10">
        <v>30</v>
      </c>
      <c r="E6" s="7">
        <f t="shared" si="0"/>
        <v>0</v>
      </c>
      <c r="F6" s="186" t="s">
        <v>88</v>
      </c>
      <c r="G6" s="221">
        <f>D6/20</f>
        <v>1.5</v>
      </c>
      <c r="H6" s="221">
        <f>G6*2</f>
        <v>3</v>
      </c>
      <c r="I6" s="221">
        <f>G6*15</f>
        <v>22.5</v>
      </c>
      <c r="J6" s="221">
        <v>0</v>
      </c>
      <c r="K6" s="221">
        <f>H6*4+I6*4+J6*9</f>
        <v>102</v>
      </c>
    </row>
    <row r="7" spans="1:11">
      <c r="A7" s="434"/>
      <c r="B7" s="442"/>
      <c r="C7" s="12" t="s">
        <v>120</v>
      </c>
      <c r="D7" s="9">
        <v>15</v>
      </c>
      <c r="E7" s="7">
        <f t="shared" si="0"/>
        <v>0</v>
      </c>
      <c r="F7" s="78" t="s">
        <v>112</v>
      </c>
      <c r="G7" s="225">
        <f>D7/35</f>
        <v>0.42857142857142855</v>
      </c>
      <c r="H7" s="221">
        <f>G7*7</f>
        <v>3</v>
      </c>
      <c r="I7" s="221">
        <f>G7*0</f>
        <v>0</v>
      </c>
      <c r="J7" s="221">
        <f>G7*5</f>
        <v>2.1428571428571428</v>
      </c>
      <c r="K7" s="221">
        <f>H7*4+I7*4+J7*9</f>
        <v>31.285714285714285</v>
      </c>
    </row>
    <row r="8" spans="1:11">
      <c r="A8" s="434"/>
      <c r="B8" s="442"/>
      <c r="C8" s="13" t="s">
        <v>37</v>
      </c>
      <c r="D8" s="10">
        <v>0.5</v>
      </c>
      <c r="E8" s="7">
        <f t="shared" si="0"/>
        <v>0</v>
      </c>
      <c r="F8" s="186" t="s">
        <v>81</v>
      </c>
      <c r="G8" s="221">
        <f>D8/100</f>
        <v>5.0000000000000001E-3</v>
      </c>
      <c r="H8" s="221">
        <f>1*G8</f>
        <v>5.0000000000000001E-3</v>
      </c>
      <c r="I8" s="221">
        <f>G8*5</f>
        <v>2.5000000000000001E-2</v>
      </c>
      <c r="J8" s="221">
        <f>0</f>
        <v>0</v>
      </c>
      <c r="K8" s="221">
        <f t="shared" ref="K8:K10" si="2">H8*4+I8*4+J8*9</f>
        <v>0.12000000000000001</v>
      </c>
    </row>
    <row r="9" spans="1:11">
      <c r="A9" s="434"/>
      <c r="B9" s="442"/>
      <c r="C9" s="14" t="s">
        <v>35</v>
      </c>
      <c r="D9" s="10">
        <v>3</v>
      </c>
      <c r="E9" s="7">
        <f t="shared" si="0"/>
        <v>0</v>
      </c>
      <c r="F9" s="186" t="s">
        <v>81</v>
      </c>
      <c r="G9" s="221">
        <f>D9/100</f>
        <v>0.03</v>
      </c>
      <c r="H9" s="221">
        <f>1*G9</f>
        <v>0.03</v>
      </c>
      <c r="I9" s="221">
        <f>G9*5</f>
        <v>0.15</v>
      </c>
      <c r="J9" s="221">
        <f>0</f>
        <v>0</v>
      </c>
      <c r="K9" s="221">
        <f t="shared" si="2"/>
        <v>0.72</v>
      </c>
    </row>
    <row r="10" spans="1:11">
      <c r="A10" s="434"/>
      <c r="B10" s="442"/>
      <c r="C10" s="14" t="s">
        <v>125</v>
      </c>
      <c r="D10" s="10">
        <v>5</v>
      </c>
      <c r="E10" s="7">
        <f t="shared" si="0"/>
        <v>0</v>
      </c>
      <c r="F10" s="186" t="s">
        <v>81</v>
      </c>
      <c r="G10" s="221">
        <f>D10/100</f>
        <v>0.05</v>
      </c>
      <c r="H10" s="221">
        <f>1*G10</f>
        <v>0.05</v>
      </c>
      <c r="I10" s="221">
        <f>G10*5</f>
        <v>0.25</v>
      </c>
      <c r="J10" s="221">
        <f>0</f>
        <v>0</v>
      </c>
      <c r="K10" s="221">
        <f t="shared" si="2"/>
        <v>1.2</v>
      </c>
    </row>
    <row r="11" spans="1:11">
      <c r="A11" s="434"/>
      <c r="B11" s="443"/>
      <c r="C11" s="22" t="s">
        <v>61</v>
      </c>
      <c r="D11" s="9">
        <v>3</v>
      </c>
      <c r="E11" s="7">
        <f t="shared" si="0"/>
        <v>0</v>
      </c>
      <c r="F11" s="186" t="s">
        <v>110</v>
      </c>
      <c r="G11" s="229">
        <f>D11/5</f>
        <v>0.6</v>
      </c>
      <c r="H11" s="229">
        <f>0</f>
        <v>0</v>
      </c>
      <c r="I11" s="229">
        <f>G11*0</f>
        <v>0</v>
      </c>
      <c r="J11" s="229">
        <f>G11*5</f>
        <v>3</v>
      </c>
      <c r="K11" s="221">
        <f>H11*4+I11*4+J11*9</f>
        <v>27</v>
      </c>
    </row>
    <row r="12" spans="1:11">
      <c r="A12" s="434"/>
      <c r="B12" s="441" t="s">
        <v>591</v>
      </c>
      <c r="C12" s="22" t="s">
        <v>592</v>
      </c>
      <c r="D12" s="9">
        <v>35</v>
      </c>
      <c r="E12" s="7">
        <f t="shared" si="0"/>
        <v>0</v>
      </c>
      <c r="F12" s="78" t="s">
        <v>112</v>
      </c>
      <c r="G12" s="225">
        <f>D12/30</f>
        <v>1.1666666666666667</v>
      </c>
      <c r="H12" s="221">
        <f>G12*7</f>
        <v>8.1666666666666679</v>
      </c>
      <c r="I12" s="221">
        <f>G12*0</f>
        <v>0</v>
      </c>
      <c r="J12" s="221">
        <f>G12*5</f>
        <v>5.8333333333333339</v>
      </c>
      <c r="K12" s="221">
        <f>H12*4+I12*4+J12*9</f>
        <v>85.166666666666686</v>
      </c>
    </row>
    <row r="13" spans="1:11">
      <c r="A13" s="434"/>
      <c r="B13" s="442"/>
      <c r="C13" s="22" t="s">
        <v>196</v>
      </c>
      <c r="D13" s="9">
        <v>8</v>
      </c>
      <c r="E13" s="7">
        <f t="shared" si="0"/>
        <v>0</v>
      </c>
      <c r="F13" s="186" t="s">
        <v>88</v>
      </c>
      <c r="G13" s="221">
        <f>D13/20</f>
        <v>0.4</v>
      </c>
      <c r="H13" s="221">
        <f>G13*2</f>
        <v>0.8</v>
      </c>
      <c r="I13" s="221">
        <f>G13*15</f>
        <v>6</v>
      </c>
      <c r="J13" s="221">
        <v>0</v>
      </c>
      <c r="K13" s="221">
        <f>H13*4+I13*4+J13*9</f>
        <v>27.2</v>
      </c>
    </row>
    <row r="14" spans="1:11">
      <c r="A14" s="434"/>
      <c r="B14" s="443"/>
      <c r="C14" s="22" t="s">
        <v>593</v>
      </c>
      <c r="D14" s="9">
        <v>3</v>
      </c>
      <c r="E14" s="7">
        <f t="shared" si="0"/>
        <v>0</v>
      </c>
      <c r="F14" s="186" t="s">
        <v>110</v>
      </c>
      <c r="G14" s="229">
        <f>D14/5</f>
        <v>0.6</v>
      </c>
      <c r="H14" s="229">
        <f>0</f>
        <v>0</v>
      </c>
      <c r="I14" s="229">
        <f>G14*0</f>
        <v>0</v>
      </c>
      <c r="J14" s="229">
        <f>G14*5</f>
        <v>3</v>
      </c>
      <c r="K14" s="221">
        <f>H14*4+I14*4+J14*9</f>
        <v>27</v>
      </c>
    </row>
    <row r="15" spans="1:11">
      <c r="A15" s="434"/>
      <c r="B15" s="440" t="s">
        <v>705</v>
      </c>
      <c r="C15" s="13" t="s">
        <v>121</v>
      </c>
      <c r="D15" s="190">
        <v>30</v>
      </c>
      <c r="E15" s="7">
        <f t="shared" si="0"/>
        <v>0</v>
      </c>
      <c r="F15" s="186" t="s">
        <v>81</v>
      </c>
      <c r="G15" s="221">
        <f>D15/100</f>
        <v>0.3</v>
      </c>
      <c r="H15" s="221">
        <f>1*G15</f>
        <v>0.3</v>
      </c>
      <c r="I15" s="221">
        <f>G15*5</f>
        <v>1.5</v>
      </c>
      <c r="J15" s="221">
        <f>0</f>
        <v>0</v>
      </c>
      <c r="K15" s="221">
        <f t="shared" ref="K15:K29" si="3">H15*4+I15*4+J15*9</f>
        <v>7.2</v>
      </c>
    </row>
    <row r="16" spans="1:11">
      <c r="A16" s="434"/>
      <c r="B16" s="434"/>
      <c r="C16" s="14" t="s">
        <v>122</v>
      </c>
      <c r="D16" s="190">
        <v>10</v>
      </c>
      <c r="E16" s="7">
        <f t="shared" si="0"/>
        <v>0</v>
      </c>
      <c r="F16" s="186" t="s">
        <v>81</v>
      </c>
      <c r="G16" s="221">
        <v>0.1</v>
      </c>
      <c r="H16" s="221">
        <f>1*G16</f>
        <v>0.1</v>
      </c>
      <c r="I16" s="221">
        <f>G16*5</f>
        <v>0.5</v>
      </c>
      <c r="J16" s="221">
        <f>0</f>
        <v>0</v>
      </c>
      <c r="K16" s="221">
        <f t="shared" si="3"/>
        <v>2.4</v>
      </c>
    </row>
    <row r="17" spans="1:11">
      <c r="A17" s="434"/>
      <c r="B17" s="434"/>
      <c r="C17" s="14" t="s">
        <v>52</v>
      </c>
      <c r="D17" s="190">
        <v>0.5</v>
      </c>
      <c r="E17" s="7">
        <f t="shared" si="0"/>
        <v>0</v>
      </c>
      <c r="F17" s="77" t="s">
        <v>24</v>
      </c>
      <c r="G17" s="221"/>
      <c r="H17" s="221"/>
      <c r="I17" s="221"/>
      <c r="J17" s="221"/>
      <c r="K17" s="221"/>
    </row>
    <row r="18" spans="1:11">
      <c r="A18" s="434"/>
      <c r="B18" s="435"/>
      <c r="C18" s="22" t="s">
        <v>61</v>
      </c>
      <c r="D18" s="9">
        <v>2</v>
      </c>
      <c r="E18" s="7">
        <f t="shared" si="0"/>
        <v>0</v>
      </c>
      <c r="F18" s="186" t="s">
        <v>110</v>
      </c>
      <c r="G18" s="229">
        <f>D18/5</f>
        <v>0.4</v>
      </c>
      <c r="H18" s="229">
        <f>0</f>
        <v>0</v>
      </c>
      <c r="I18" s="229">
        <f>G18*0</f>
        <v>0</v>
      </c>
      <c r="J18" s="229">
        <f>G18*5</f>
        <v>2</v>
      </c>
      <c r="K18" s="221">
        <f t="shared" si="3"/>
        <v>18</v>
      </c>
    </row>
    <row r="19" spans="1:11">
      <c r="A19" s="434"/>
      <c r="B19" s="440" t="s">
        <v>123</v>
      </c>
      <c r="C19" s="14" t="s">
        <v>512</v>
      </c>
      <c r="D19" s="190">
        <v>20</v>
      </c>
      <c r="E19" s="7">
        <f t="shared" si="0"/>
        <v>0</v>
      </c>
      <c r="F19" s="78" t="s">
        <v>112</v>
      </c>
      <c r="G19" s="225">
        <f>D19/80</f>
        <v>0.25</v>
      </c>
      <c r="H19" s="221">
        <f>G19*7</f>
        <v>1.75</v>
      </c>
      <c r="I19" s="221">
        <f>G19*5+5</f>
        <v>6.25</v>
      </c>
      <c r="J19" s="221">
        <f>G19*5</f>
        <v>1.25</v>
      </c>
      <c r="K19" s="221">
        <f t="shared" si="3"/>
        <v>43.25</v>
      </c>
    </row>
    <row r="20" spans="1:11">
      <c r="A20" s="434"/>
      <c r="B20" s="434"/>
      <c r="C20" s="14" t="s">
        <v>42</v>
      </c>
      <c r="D20" s="190">
        <v>2</v>
      </c>
      <c r="E20" s="7">
        <f t="shared" si="0"/>
        <v>0</v>
      </c>
      <c r="F20" s="77" t="s">
        <v>24</v>
      </c>
      <c r="G20" s="221"/>
      <c r="H20" s="221"/>
      <c r="I20" s="221"/>
      <c r="J20" s="221"/>
      <c r="K20" s="221"/>
    </row>
    <row r="21" spans="1:11">
      <c r="A21" s="434"/>
      <c r="B21" s="434"/>
      <c r="C21" s="14" t="s">
        <v>124</v>
      </c>
      <c r="D21" s="190">
        <v>0.5</v>
      </c>
      <c r="E21" s="7">
        <f t="shared" si="0"/>
        <v>0</v>
      </c>
      <c r="F21" s="77" t="s">
        <v>24</v>
      </c>
      <c r="G21" s="221"/>
      <c r="H21" s="221"/>
      <c r="I21" s="221"/>
      <c r="J21" s="221"/>
      <c r="K21" s="221"/>
    </row>
    <row r="22" spans="1:11">
      <c r="A22" s="435"/>
      <c r="B22" s="435"/>
      <c r="C22" s="14" t="s">
        <v>32</v>
      </c>
      <c r="D22" s="190">
        <v>0.5</v>
      </c>
      <c r="E22" s="7">
        <f t="shared" si="0"/>
        <v>0</v>
      </c>
      <c r="F22" s="77" t="s">
        <v>24</v>
      </c>
      <c r="G22" s="221"/>
      <c r="H22" s="221"/>
      <c r="I22" s="221"/>
      <c r="J22" s="221"/>
      <c r="K22" s="221"/>
    </row>
    <row r="23" spans="1:11">
      <c r="A23" s="440" t="s">
        <v>2</v>
      </c>
      <c r="B23" s="540" t="s">
        <v>594</v>
      </c>
      <c r="C23" s="216" t="s">
        <v>86</v>
      </c>
      <c r="D23" s="46">
        <v>20</v>
      </c>
      <c r="E23" s="7">
        <f t="shared" si="0"/>
        <v>0</v>
      </c>
      <c r="F23" s="186" t="s">
        <v>88</v>
      </c>
      <c r="G23" s="221">
        <f>D23/20</f>
        <v>1</v>
      </c>
      <c r="H23" s="221">
        <f>G23*2</f>
        <v>2</v>
      </c>
      <c r="I23" s="221">
        <f>G23*15</f>
        <v>15</v>
      </c>
      <c r="J23" s="221">
        <v>0</v>
      </c>
      <c r="K23" s="221">
        <f>H23*4+I23*4+J23*9</f>
        <v>68</v>
      </c>
    </row>
    <row r="24" spans="1:11">
      <c r="A24" s="434"/>
      <c r="B24" s="521"/>
      <c r="C24" s="216" t="s">
        <v>595</v>
      </c>
      <c r="D24" s="54" t="s">
        <v>522</v>
      </c>
      <c r="E24" s="7"/>
      <c r="F24" s="186"/>
      <c r="G24" s="221"/>
      <c r="H24" s="221"/>
      <c r="I24" s="221"/>
      <c r="J24" s="221"/>
      <c r="K24" s="221">
        <f t="shared" ref="K24:K28" si="4">H24*4+I24*4+J24*9</f>
        <v>0</v>
      </c>
    </row>
    <row r="25" spans="1:11">
      <c r="A25" s="434"/>
      <c r="B25" s="521"/>
      <c r="C25" s="216" t="s">
        <v>596</v>
      </c>
      <c r="D25" s="54" t="s">
        <v>522</v>
      </c>
      <c r="E25" s="7"/>
      <c r="F25" s="186"/>
      <c r="G25" s="221"/>
      <c r="H25" s="221"/>
      <c r="I25" s="221"/>
      <c r="J25" s="221"/>
      <c r="K25" s="221">
        <f t="shared" si="4"/>
        <v>0</v>
      </c>
    </row>
    <row r="26" spans="1:11">
      <c r="A26" s="434"/>
      <c r="B26" s="521"/>
      <c r="C26" s="216" t="s">
        <v>597</v>
      </c>
      <c r="D26" s="54" t="s">
        <v>522</v>
      </c>
      <c r="E26" s="7"/>
      <c r="F26" s="186"/>
      <c r="G26" s="221"/>
      <c r="H26" s="221"/>
      <c r="I26" s="221"/>
      <c r="J26" s="221"/>
      <c r="K26" s="221">
        <f t="shared" si="4"/>
        <v>0</v>
      </c>
    </row>
    <row r="27" spans="1:11">
      <c r="A27" s="434"/>
      <c r="B27" s="521"/>
      <c r="C27" s="297" t="s">
        <v>391</v>
      </c>
      <c r="D27" s="256">
        <v>8</v>
      </c>
      <c r="E27" s="7">
        <f t="shared" si="0"/>
        <v>0</v>
      </c>
      <c r="F27" s="186" t="s">
        <v>77</v>
      </c>
      <c r="G27" s="221"/>
      <c r="H27" s="221"/>
      <c r="I27" s="221">
        <f>D27</f>
        <v>8</v>
      </c>
      <c r="J27" s="74"/>
      <c r="K27" s="221">
        <f t="shared" si="4"/>
        <v>32</v>
      </c>
    </row>
    <row r="28" spans="1:11">
      <c r="A28" s="434"/>
      <c r="B28" s="2" t="s">
        <v>650</v>
      </c>
      <c r="C28" s="14" t="s">
        <v>651</v>
      </c>
      <c r="D28" s="190"/>
      <c r="E28" s="7"/>
      <c r="F28" s="186" t="s">
        <v>8</v>
      </c>
      <c r="G28" s="282">
        <v>1</v>
      </c>
      <c r="H28" s="282">
        <f>G28*0</f>
        <v>0</v>
      </c>
      <c r="I28" s="282">
        <f>G28*15</f>
        <v>15</v>
      </c>
      <c r="J28" s="282">
        <f>G28*0</f>
        <v>0</v>
      </c>
      <c r="K28" s="282">
        <f t="shared" si="4"/>
        <v>60</v>
      </c>
    </row>
    <row r="29" spans="1:11" ht="21">
      <c r="A29" s="487" t="s">
        <v>499</v>
      </c>
      <c r="B29" s="487"/>
      <c r="C29" s="234"/>
      <c r="D29" s="235"/>
      <c r="E29" s="235"/>
      <c r="F29" s="236"/>
      <c r="G29" s="236"/>
      <c r="H29" s="237">
        <f>SUM(H3:H28)</f>
        <v>27.601666666666674</v>
      </c>
      <c r="I29" s="237">
        <f>SUM(I3:I28)</f>
        <v>103.675</v>
      </c>
      <c r="J29" s="237">
        <f>SUM(J3:J28)</f>
        <v>20.226190476190474</v>
      </c>
      <c r="K29" s="328">
        <f t="shared" si="3"/>
        <v>707.14238095238102</v>
      </c>
    </row>
    <row r="30" spans="1:11" ht="21">
      <c r="A30" s="461" t="s">
        <v>537</v>
      </c>
      <c r="B30" s="462"/>
      <c r="C30" s="261"/>
      <c r="D30" s="261"/>
      <c r="E30" s="261"/>
      <c r="F30" s="262"/>
      <c r="G30" s="262"/>
      <c r="H30" s="326">
        <f>+H29*4/K29</f>
        <v>0.15613074486918849</v>
      </c>
      <c r="I30" s="326">
        <f>+I29*4/K29</f>
        <v>0.58644483935679415</v>
      </c>
      <c r="J30" s="326">
        <f>+J29*9/K29</f>
        <v>0.25742441577401731</v>
      </c>
      <c r="K30" s="326">
        <f>+H30+I30+J30</f>
        <v>1</v>
      </c>
    </row>
  </sheetData>
  <mergeCells count="15">
    <mergeCell ref="A30:B30"/>
    <mergeCell ref="A3:A5"/>
    <mergeCell ref="B12:B14"/>
    <mergeCell ref="B23:B27"/>
    <mergeCell ref="A23:A28"/>
    <mergeCell ref="B4:B5"/>
    <mergeCell ref="C4:C5"/>
    <mergeCell ref="D4:D5"/>
    <mergeCell ref="A29:B29"/>
    <mergeCell ref="A1:B1"/>
    <mergeCell ref="F1:K1"/>
    <mergeCell ref="A6:A22"/>
    <mergeCell ref="B6:B11"/>
    <mergeCell ref="B15:B18"/>
    <mergeCell ref="B19:B2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2"/>
  <sheetViews>
    <sheetView zoomScale="70" zoomScaleNormal="70" zoomScaleSheetLayoutView="75" workbookViewId="0">
      <selection activeCell="P33" sqref="P33"/>
    </sheetView>
  </sheetViews>
  <sheetFormatPr defaultRowHeight="16.5"/>
  <cols>
    <col min="1" max="1" width="5.5" customWidth="1"/>
    <col min="2" max="2" width="11.5" customWidth="1"/>
    <col min="3" max="3" width="12.25" customWidth="1"/>
    <col min="4" max="4" width="6.375" customWidth="1"/>
    <col min="5" max="5" width="8.875" customWidth="1"/>
    <col min="6" max="6" width="5.5" style="205" customWidth="1"/>
    <col min="7" max="7" width="6.625" style="205" customWidth="1"/>
    <col min="8" max="8" width="10.25" style="205" customWidth="1"/>
    <col min="9" max="9" width="12.25" style="205" bestFit="1" customWidth="1"/>
    <col min="10" max="10" width="7.75" style="205" customWidth="1"/>
    <col min="11" max="11" width="8.375" style="205" customWidth="1"/>
  </cols>
  <sheetData>
    <row r="1" spans="1:14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31" t="s">
        <v>150</v>
      </c>
      <c r="G1" s="432"/>
      <c r="H1" s="432"/>
      <c r="I1" s="432"/>
      <c r="J1" s="432"/>
      <c r="K1" s="433"/>
    </row>
    <row r="2" spans="1:14">
      <c r="A2" s="45" t="s">
        <v>327</v>
      </c>
      <c r="B2" s="28" t="s">
        <v>17</v>
      </c>
      <c r="C2" s="24" t="s">
        <v>18</v>
      </c>
      <c r="D2" s="25" t="s">
        <v>20</v>
      </c>
      <c r="E2" s="28" t="s">
        <v>131</v>
      </c>
      <c r="F2" s="28" t="s">
        <v>130</v>
      </c>
      <c r="G2" s="28" t="s">
        <v>132</v>
      </c>
      <c r="H2" s="28" t="s">
        <v>494</v>
      </c>
      <c r="I2" s="203" t="s">
        <v>495</v>
      </c>
      <c r="J2" s="203" t="s">
        <v>496</v>
      </c>
      <c r="K2" s="203" t="s">
        <v>497</v>
      </c>
    </row>
    <row r="3" spans="1:14">
      <c r="A3" s="438" t="s">
        <v>0</v>
      </c>
      <c r="B3" s="441" t="s">
        <v>89</v>
      </c>
      <c r="C3" s="12" t="s">
        <v>90</v>
      </c>
      <c r="D3" s="9">
        <v>10</v>
      </c>
      <c r="E3" s="7">
        <f>D3*D1/1000</f>
        <v>0</v>
      </c>
      <c r="F3" s="204" t="s">
        <v>112</v>
      </c>
      <c r="G3" s="263">
        <v>0.2</v>
      </c>
      <c r="H3" s="264">
        <f>G3*7</f>
        <v>1.4000000000000001</v>
      </c>
      <c r="I3" s="264">
        <f>G3*0</f>
        <v>0</v>
      </c>
      <c r="J3" s="264">
        <f>G3*5</f>
        <v>1</v>
      </c>
      <c r="K3" s="264">
        <f>H3*4+I3*4+J3*9</f>
        <v>14.600000000000001</v>
      </c>
    </row>
    <row r="4" spans="1:14">
      <c r="A4" s="439"/>
      <c r="B4" s="442"/>
      <c r="C4" s="12" t="s">
        <v>23</v>
      </c>
      <c r="D4" s="6">
        <v>3</v>
      </c>
      <c r="E4" s="7">
        <f>D4*D1/1000</f>
        <v>0</v>
      </c>
      <c r="F4" s="9" t="s">
        <v>24</v>
      </c>
      <c r="G4" s="265"/>
      <c r="H4" s="264"/>
      <c r="I4" s="264"/>
      <c r="J4" s="264"/>
      <c r="K4" s="264"/>
    </row>
    <row r="5" spans="1:14">
      <c r="A5" s="439"/>
      <c r="B5" s="442"/>
      <c r="C5" s="13" t="s">
        <v>80</v>
      </c>
      <c r="D5" s="185">
        <v>6</v>
      </c>
      <c r="E5" s="7">
        <f>D5*D1/1000</f>
        <v>0</v>
      </c>
      <c r="F5" s="204" t="s">
        <v>112</v>
      </c>
      <c r="G5" s="263">
        <f>D5/35</f>
        <v>0.17142857142857143</v>
      </c>
      <c r="H5" s="264">
        <f>G5*7</f>
        <v>1.2</v>
      </c>
      <c r="I5" s="264">
        <f>G5*0</f>
        <v>0</v>
      </c>
      <c r="J5" s="264">
        <f>G5*3</f>
        <v>0.51428571428571423</v>
      </c>
      <c r="K5" s="264">
        <f t="shared" ref="K5:K10" si="0">H5*4+I5*4+J5*9</f>
        <v>9.428571428571427</v>
      </c>
    </row>
    <row r="6" spans="1:14">
      <c r="A6" s="439"/>
      <c r="B6" s="442"/>
      <c r="C6" s="13" t="s">
        <v>22</v>
      </c>
      <c r="D6" s="6">
        <v>0.5</v>
      </c>
      <c r="E6" s="7">
        <f>D6*D1/1000</f>
        <v>0</v>
      </c>
      <c r="F6" s="204" t="s">
        <v>81</v>
      </c>
      <c r="G6" s="263">
        <v>5.0000000000000001E-3</v>
      </c>
      <c r="H6" s="264">
        <f>1*G6</f>
        <v>5.0000000000000001E-3</v>
      </c>
      <c r="I6" s="264">
        <f>G6*5</f>
        <v>2.5000000000000001E-2</v>
      </c>
      <c r="J6" s="264">
        <f>0</f>
        <v>0</v>
      </c>
      <c r="K6" s="264">
        <f t="shared" si="0"/>
        <v>0.12000000000000001</v>
      </c>
    </row>
    <row r="7" spans="1:14">
      <c r="A7" s="439"/>
      <c r="B7" s="442"/>
      <c r="C7" s="13" t="s">
        <v>14</v>
      </c>
      <c r="D7" s="6">
        <v>15</v>
      </c>
      <c r="E7" s="7">
        <f>D7*D1/1000</f>
        <v>0</v>
      </c>
      <c r="F7" s="204" t="s">
        <v>81</v>
      </c>
      <c r="G7" s="263">
        <v>0.15</v>
      </c>
      <c r="H7" s="264">
        <f>1*G7</f>
        <v>0.15</v>
      </c>
      <c r="I7" s="264">
        <f t="shared" ref="I7:I9" si="1">G7*5</f>
        <v>0.75</v>
      </c>
      <c r="J7" s="264">
        <f>0</f>
        <v>0</v>
      </c>
      <c r="K7" s="264">
        <f t="shared" si="0"/>
        <v>3.6</v>
      </c>
    </row>
    <row r="8" spans="1:14">
      <c r="A8" s="439"/>
      <c r="B8" s="442"/>
      <c r="C8" s="13" t="s">
        <v>37</v>
      </c>
      <c r="D8" s="6">
        <v>0.3</v>
      </c>
      <c r="E8" s="8">
        <f>D8*D1/1000</f>
        <v>0</v>
      </c>
      <c r="F8" s="203" t="s">
        <v>81</v>
      </c>
      <c r="G8" s="264">
        <v>3.0000000000000001E-3</v>
      </c>
      <c r="H8" s="264">
        <f>1*G8</f>
        <v>3.0000000000000001E-3</v>
      </c>
      <c r="I8" s="264">
        <f t="shared" si="1"/>
        <v>1.4999999999999999E-2</v>
      </c>
      <c r="J8" s="264">
        <f>0</f>
        <v>0</v>
      </c>
      <c r="K8" s="264">
        <f t="shared" si="0"/>
        <v>7.1999999999999995E-2</v>
      </c>
      <c r="L8" s="15"/>
      <c r="M8" s="15"/>
      <c r="N8" s="21"/>
    </row>
    <row r="9" spans="1:14">
      <c r="A9" s="439"/>
      <c r="B9" s="442"/>
      <c r="C9" s="14" t="s">
        <v>32</v>
      </c>
      <c r="D9" s="6">
        <v>0.5</v>
      </c>
      <c r="E9" s="7">
        <f>D9*D1/1000</f>
        <v>0</v>
      </c>
      <c r="F9" s="203" t="s">
        <v>81</v>
      </c>
      <c r="G9" s="264">
        <v>5.0000000000000001E-3</v>
      </c>
      <c r="H9" s="264">
        <f>1*G9</f>
        <v>5.0000000000000001E-3</v>
      </c>
      <c r="I9" s="264">
        <f t="shared" si="1"/>
        <v>2.5000000000000001E-2</v>
      </c>
      <c r="J9" s="264">
        <f>0</f>
        <v>0</v>
      </c>
      <c r="K9" s="264">
        <f t="shared" si="0"/>
        <v>0.12000000000000001</v>
      </c>
      <c r="L9" s="15"/>
      <c r="M9" s="15"/>
      <c r="N9" s="21"/>
    </row>
    <row r="10" spans="1:14">
      <c r="A10" s="439"/>
      <c r="B10" s="443"/>
      <c r="C10" s="14" t="s">
        <v>28</v>
      </c>
      <c r="D10" s="10">
        <v>10</v>
      </c>
      <c r="E10" s="7">
        <f>D10*D1/1000</f>
        <v>0</v>
      </c>
      <c r="F10" s="203" t="s">
        <v>88</v>
      </c>
      <c r="G10" s="266">
        <v>0.5</v>
      </c>
      <c r="H10" s="264">
        <f>G10*2</f>
        <v>1</v>
      </c>
      <c r="I10" s="264">
        <f>G10*15</f>
        <v>7.5</v>
      </c>
      <c r="J10" s="264">
        <f>G10*0</f>
        <v>0</v>
      </c>
      <c r="K10" s="264">
        <f t="shared" si="0"/>
        <v>34</v>
      </c>
      <c r="L10" s="15"/>
      <c r="M10" s="15"/>
      <c r="N10" s="21"/>
    </row>
    <row r="11" spans="1:14">
      <c r="A11" s="434"/>
      <c r="B11" s="434" t="s">
        <v>481</v>
      </c>
      <c r="C11" s="14" t="s">
        <v>27</v>
      </c>
      <c r="D11" s="10">
        <v>5</v>
      </c>
      <c r="E11" s="7">
        <f>D11*D1/1000</f>
        <v>0</v>
      </c>
      <c r="F11" s="204" t="s">
        <v>88</v>
      </c>
      <c r="G11" s="264">
        <f t="shared" ref="G11:G12" si="2">D11/20</f>
        <v>0.25</v>
      </c>
      <c r="H11" s="264">
        <f t="shared" ref="H11:H12" si="3">G11*2</f>
        <v>0.5</v>
      </c>
      <c r="I11" s="264">
        <f t="shared" ref="I11:I12" si="4">G11*15</f>
        <v>3.75</v>
      </c>
      <c r="J11" s="264"/>
      <c r="K11" s="264">
        <f t="shared" ref="K11:K12" si="5">H11*4+I11*4+J11*9</f>
        <v>17</v>
      </c>
    </row>
    <row r="12" spans="1:14">
      <c r="A12" s="434"/>
      <c r="B12" s="435"/>
      <c r="C12" s="14" t="s">
        <v>28</v>
      </c>
      <c r="D12" s="10">
        <v>35</v>
      </c>
      <c r="E12" s="8">
        <f>D12*D1/1000</f>
        <v>0</v>
      </c>
      <c r="F12" s="203" t="s">
        <v>88</v>
      </c>
      <c r="G12" s="264">
        <f t="shared" si="2"/>
        <v>1.75</v>
      </c>
      <c r="H12" s="264">
        <f t="shared" si="3"/>
        <v>3.5</v>
      </c>
      <c r="I12" s="264">
        <f t="shared" si="4"/>
        <v>26.25</v>
      </c>
      <c r="J12" s="264"/>
      <c r="K12" s="264">
        <f t="shared" si="5"/>
        <v>119</v>
      </c>
    </row>
    <row r="13" spans="1:14">
      <c r="A13" s="434"/>
      <c r="B13" s="440" t="s">
        <v>91</v>
      </c>
      <c r="C13" s="13" t="s">
        <v>92</v>
      </c>
      <c r="D13" s="9">
        <v>32</v>
      </c>
      <c r="E13" s="7">
        <f>D13*D1/1000</f>
        <v>0</v>
      </c>
      <c r="F13" s="204" t="s">
        <v>112</v>
      </c>
      <c r="G13" s="263">
        <v>0.8</v>
      </c>
      <c r="H13" s="264">
        <f>G13*7</f>
        <v>5.6000000000000005</v>
      </c>
      <c r="I13" s="264">
        <f>G13*0</f>
        <v>0</v>
      </c>
      <c r="J13" s="264">
        <f>G13*5</f>
        <v>4</v>
      </c>
      <c r="K13" s="264">
        <f t="shared" ref="K13:K30" si="6">H13*4+I13*4+J13*9</f>
        <v>58.400000000000006</v>
      </c>
    </row>
    <row r="14" spans="1:14">
      <c r="A14" s="434"/>
      <c r="B14" s="434"/>
      <c r="C14" s="14" t="s">
        <v>59</v>
      </c>
      <c r="D14" s="176">
        <v>5</v>
      </c>
      <c r="E14" s="7">
        <f>D14*D1/1000</f>
        <v>0</v>
      </c>
      <c r="F14" s="203" t="s">
        <v>81</v>
      </c>
      <c r="G14" s="264">
        <v>0.05</v>
      </c>
      <c r="H14" s="264">
        <f>1*G14</f>
        <v>0.05</v>
      </c>
      <c r="I14" s="264">
        <f>G14*0.5</f>
        <v>2.5000000000000001E-2</v>
      </c>
      <c r="J14" s="264">
        <f>0</f>
        <v>0</v>
      </c>
      <c r="K14" s="264">
        <f t="shared" si="6"/>
        <v>0.30000000000000004</v>
      </c>
    </row>
    <row r="15" spans="1:14">
      <c r="A15" s="434"/>
      <c r="B15" s="434"/>
      <c r="C15" s="14" t="s">
        <v>68</v>
      </c>
      <c r="D15" s="176">
        <v>0.5</v>
      </c>
      <c r="E15" s="7">
        <f>D15*D1/1000</f>
        <v>0</v>
      </c>
      <c r="F15" s="203" t="s">
        <v>81</v>
      </c>
      <c r="G15" s="264">
        <v>5.0000000000000001E-3</v>
      </c>
      <c r="H15" s="264">
        <f>1*G15</f>
        <v>5.0000000000000001E-3</v>
      </c>
      <c r="I15" s="264">
        <f>G15*0.5</f>
        <v>2.5000000000000001E-3</v>
      </c>
      <c r="J15" s="264">
        <f>0</f>
        <v>0</v>
      </c>
      <c r="K15" s="264">
        <f t="shared" si="6"/>
        <v>0.03</v>
      </c>
    </row>
    <row r="16" spans="1:14">
      <c r="A16" s="434"/>
      <c r="B16" s="434"/>
      <c r="C16" s="14" t="s">
        <v>100</v>
      </c>
      <c r="D16" s="176">
        <v>1</v>
      </c>
      <c r="E16" s="8">
        <f>D16*D1/1000</f>
        <v>0</v>
      </c>
      <c r="F16" s="203" t="s">
        <v>110</v>
      </c>
      <c r="G16" s="264">
        <f>D16/5</f>
        <v>0.2</v>
      </c>
      <c r="H16" s="264">
        <f>0</f>
        <v>0</v>
      </c>
      <c r="I16" s="264">
        <f>G16*0</f>
        <v>0</v>
      </c>
      <c r="J16" s="264">
        <f>G16*5</f>
        <v>1</v>
      </c>
      <c r="K16" s="264">
        <f t="shared" si="6"/>
        <v>9</v>
      </c>
    </row>
    <row r="17" spans="1:11">
      <c r="A17" s="434"/>
      <c r="B17" s="435"/>
      <c r="C17" s="14" t="s">
        <v>87</v>
      </c>
      <c r="D17" s="176">
        <v>1</v>
      </c>
      <c r="E17" s="7">
        <f>D17*D1/1000</f>
        <v>0</v>
      </c>
      <c r="F17" s="9" t="s">
        <v>24</v>
      </c>
      <c r="G17" s="264">
        <v>1</v>
      </c>
      <c r="H17" s="264"/>
      <c r="I17" s="264">
        <v>1</v>
      </c>
      <c r="J17" s="264"/>
      <c r="K17" s="264">
        <f t="shared" si="6"/>
        <v>4</v>
      </c>
    </row>
    <row r="18" spans="1:11">
      <c r="A18" s="434"/>
      <c r="B18" s="440" t="s">
        <v>93</v>
      </c>
      <c r="C18" s="14" t="s">
        <v>29</v>
      </c>
      <c r="D18" s="176">
        <v>25</v>
      </c>
      <c r="E18" s="7">
        <f>D18*D1/1000</f>
        <v>0</v>
      </c>
      <c r="F18" s="203" t="s">
        <v>88</v>
      </c>
      <c r="G18" s="264">
        <v>0.3</v>
      </c>
      <c r="H18" s="264">
        <f>G18*2</f>
        <v>0.6</v>
      </c>
      <c r="I18" s="264">
        <f>G18*15</f>
        <v>4.5</v>
      </c>
      <c r="J18" s="264">
        <f>G18*0</f>
        <v>0</v>
      </c>
      <c r="K18" s="264">
        <f t="shared" si="6"/>
        <v>20.399999999999999</v>
      </c>
    </row>
    <row r="19" spans="1:11">
      <c r="A19" s="434"/>
      <c r="B19" s="434"/>
      <c r="C19" s="14" t="s">
        <v>94</v>
      </c>
      <c r="D19" s="176">
        <v>10</v>
      </c>
      <c r="E19" s="7">
        <f>D19*D1/1000</f>
        <v>0</v>
      </c>
      <c r="F19" s="203" t="s">
        <v>81</v>
      </c>
      <c r="G19" s="264">
        <v>0.1</v>
      </c>
      <c r="H19" s="264">
        <f>1*G19</f>
        <v>0.1</v>
      </c>
      <c r="I19" s="264">
        <f>G19*0.5</f>
        <v>0.05</v>
      </c>
      <c r="J19" s="264">
        <f>0</f>
        <v>0</v>
      </c>
      <c r="K19" s="264">
        <f t="shared" si="6"/>
        <v>0.60000000000000009</v>
      </c>
    </row>
    <row r="20" spans="1:11">
      <c r="A20" s="434"/>
      <c r="B20" s="434"/>
      <c r="C20" s="14" t="s">
        <v>31</v>
      </c>
      <c r="D20" s="176">
        <v>5</v>
      </c>
      <c r="E20" s="7">
        <f>D20*D1/1000</f>
        <v>0</v>
      </c>
      <c r="F20" s="203" t="s">
        <v>81</v>
      </c>
      <c r="G20" s="264">
        <v>0.05</v>
      </c>
      <c r="H20" s="264">
        <f>1*G20</f>
        <v>0.05</v>
      </c>
      <c r="I20" s="264">
        <f>G20*0.5</f>
        <v>2.5000000000000001E-2</v>
      </c>
      <c r="J20" s="264">
        <f>0</f>
        <v>0</v>
      </c>
      <c r="K20" s="264">
        <f t="shared" si="6"/>
        <v>0.30000000000000004</v>
      </c>
    </row>
    <row r="21" spans="1:11">
      <c r="A21" s="434"/>
      <c r="B21" s="434"/>
      <c r="C21" s="14" t="s">
        <v>32</v>
      </c>
      <c r="D21" s="176">
        <v>0.5</v>
      </c>
      <c r="E21" s="8">
        <f>D21*D1/1000</f>
        <v>0</v>
      </c>
      <c r="F21" s="203" t="s">
        <v>81</v>
      </c>
      <c r="G21" s="264">
        <v>5.0000000000000001E-3</v>
      </c>
      <c r="H21" s="264">
        <f>1*G21</f>
        <v>5.0000000000000001E-3</v>
      </c>
      <c r="I21" s="264">
        <f>G21*0.5</f>
        <v>2.5000000000000001E-3</v>
      </c>
      <c r="J21" s="264">
        <f>0</f>
        <v>0</v>
      </c>
      <c r="K21" s="264">
        <f t="shared" si="6"/>
        <v>0.03</v>
      </c>
    </row>
    <row r="22" spans="1:11">
      <c r="A22" s="434"/>
      <c r="B22" s="435"/>
      <c r="C22" s="14" t="s">
        <v>61</v>
      </c>
      <c r="D22" s="176">
        <v>2</v>
      </c>
      <c r="E22" s="7">
        <f>D22*D1/1000</f>
        <v>0</v>
      </c>
      <c r="F22" s="203" t="s">
        <v>110</v>
      </c>
      <c r="G22" s="264">
        <f>D22/5</f>
        <v>0.4</v>
      </c>
      <c r="H22" s="264">
        <f>0</f>
        <v>0</v>
      </c>
      <c r="I22" s="264">
        <f>G22*0</f>
        <v>0</v>
      </c>
      <c r="J22" s="264">
        <f>G22*5</f>
        <v>2</v>
      </c>
      <c r="K22" s="264">
        <f t="shared" si="6"/>
        <v>18</v>
      </c>
    </row>
    <row r="23" spans="1:11">
      <c r="A23" s="434"/>
      <c r="B23" s="440" t="s">
        <v>675</v>
      </c>
      <c r="C23" s="14" t="s">
        <v>95</v>
      </c>
      <c r="D23" s="176">
        <v>60</v>
      </c>
      <c r="E23" s="7">
        <f>D23*D1/1000</f>
        <v>0</v>
      </c>
      <c r="F23" s="203" t="s">
        <v>81</v>
      </c>
      <c r="G23" s="264">
        <v>0.6</v>
      </c>
      <c r="H23" s="264">
        <f>1*G23</f>
        <v>0.6</v>
      </c>
      <c r="I23" s="264">
        <f>G23*0.5</f>
        <v>0.3</v>
      </c>
      <c r="J23" s="264">
        <f>0</f>
        <v>0</v>
      </c>
      <c r="K23" s="264">
        <f t="shared" si="6"/>
        <v>3.5999999999999996</v>
      </c>
    </row>
    <row r="24" spans="1:11">
      <c r="A24" s="434"/>
      <c r="B24" s="434"/>
      <c r="C24" s="14" t="s">
        <v>96</v>
      </c>
      <c r="D24" s="176">
        <v>10</v>
      </c>
      <c r="E24" s="7">
        <f>D24*D1/1000</f>
        <v>0</v>
      </c>
      <c r="F24" s="203" t="s">
        <v>81</v>
      </c>
      <c r="G24" s="264">
        <v>0.1</v>
      </c>
      <c r="H24" s="264">
        <f>1*G24</f>
        <v>0.1</v>
      </c>
      <c r="I24" s="264">
        <f>G24*0.5</f>
        <v>0.05</v>
      </c>
      <c r="J24" s="264">
        <f>0</f>
        <v>0</v>
      </c>
      <c r="K24" s="264">
        <f t="shared" si="6"/>
        <v>0.60000000000000009</v>
      </c>
    </row>
    <row r="25" spans="1:11">
      <c r="A25" s="434"/>
      <c r="B25" s="434"/>
      <c r="C25" s="14" t="s">
        <v>34</v>
      </c>
      <c r="D25" s="176">
        <v>0.5</v>
      </c>
      <c r="E25" s="8">
        <f>D25*D1/1000</f>
        <v>0</v>
      </c>
      <c r="F25" s="203" t="s">
        <v>81</v>
      </c>
      <c r="G25" s="264">
        <v>5.0000000000000001E-3</v>
      </c>
      <c r="H25" s="264">
        <f>1*G25</f>
        <v>5.0000000000000001E-3</v>
      </c>
      <c r="I25" s="264">
        <f>G25*0.5</f>
        <v>2.5000000000000001E-3</v>
      </c>
      <c r="J25" s="264">
        <f>0</f>
        <v>0</v>
      </c>
      <c r="K25" s="264">
        <f t="shared" si="6"/>
        <v>0.03</v>
      </c>
    </row>
    <row r="26" spans="1:11">
      <c r="A26" s="434"/>
      <c r="B26" s="435"/>
      <c r="C26" s="14" t="s">
        <v>61</v>
      </c>
      <c r="D26" s="176">
        <v>2</v>
      </c>
      <c r="E26" s="7">
        <f>D26*D1/1000</f>
        <v>0</v>
      </c>
      <c r="F26" s="203" t="s">
        <v>110</v>
      </c>
      <c r="G26" s="264">
        <f>D26/5</f>
        <v>0.4</v>
      </c>
      <c r="H26" s="264">
        <f>0</f>
        <v>0</v>
      </c>
      <c r="I26" s="264">
        <f>G26*0</f>
        <v>0</v>
      </c>
      <c r="J26" s="264">
        <f>G26*5</f>
        <v>2</v>
      </c>
      <c r="K26" s="264">
        <f t="shared" si="6"/>
        <v>18</v>
      </c>
    </row>
    <row r="27" spans="1:11">
      <c r="A27" s="434"/>
      <c r="B27" s="447" t="s">
        <v>97</v>
      </c>
      <c r="C27" s="14" t="s">
        <v>98</v>
      </c>
      <c r="D27" s="176">
        <v>8</v>
      </c>
      <c r="E27" s="7">
        <f>D27*D1/1000</f>
        <v>0</v>
      </c>
      <c r="F27" s="203" t="s">
        <v>112</v>
      </c>
      <c r="G27" s="264">
        <v>0.2</v>
      </c>
      <c r="H27" s="264">
        <f>G27*7</f>
        <v>1.4000000000000001</v>
      </c>
      <c r="I27" s="264">
        <f>G27*0</f>
        <v>0</v>
      </c>
      <c r="J27" s="264">
        <f>G27*5</f>
        <v>1</v>
      </c>
      <c r="K27" s="264">
        <f t="shared" si="6"/>
        <v>14.600000000000001</v>
      </c>
    </row>
    <row r="28" spans="1:11">
      <c r="A28" s="434"/>
      <c r="B28" s="447"/>
      <c r="C28" s="14" t="s">
        <v>99</v>
      </c>
      <c r="D28" s="176">
        <v>5</v>
      </c>
      <c r="E28" s="8">
        <f>D28*D1/1000</f>
        <v>0</v>
      </c>
      <c r="F28" s="203" t="s">
        <v>112</v>
      </c>
      <c r="G28" s="264">
        <f>D28/30</f>
        <v>0.16666666666666666</v>
      </c>
      <c r="H28" s="264">
        <f>G28*7</f>
        <v>1.1666666666666665</v>
      </c>
      <c r="I28" s="264">
        <f>G28*0</f>
        <v>0</v>
      </c>
      <c r="J28" s="264">
        <f>G28*3</f>
        <v>0.5</v>
      </c>
      <c r="K28" s="264">
        <f t="shared" si="6"/>
        <v>9.1666666666666661</v>
      </c>
    </row>
    <row r="29" spans="1:11">
      <c r="A29" s="434"/>
      <c r="B29" s="447"/>
      <c r="C29" s="14" t="s">
        <v>35</v>
      </c>
      <c r="D29" s="176">
        <v>0.5</v>
      </c>
      <c r="E29" s="7">
        <f>D29*D1/1000</f>
        <v>0</v>
      </c>
      <c r="F29" s="203" t="s">
        <v>81</v>
      </c>
      <c r="G29" s="264">
        <v>5.0000000000000001E-3</v>
      </c>
      <c r="H29" s="264">
        <f>1*G29</f>
        <v>5.0000000000000001E-3</v>
      </c>
      <c r="I29" s="264">
        <f>G29*0.5</f>
        <v>2.5000000000000001E-3</v>
      </c>
      <c r="J29" s="264">
        <f>0</f>
        <v>0</v>
      </c>
      <c r="K29" s="264">
        <f t="shared" si="6"/>
        <v>0.03</v>
      </c>
    </row>
    <row r="30" spans="1:11">
      <c r="A30" s="434"/>
      <c r="B30" s="447"/>
      <c r="C30" s="14" t="s">
        <v>36</v>
      </c>
      <c r="D30" s="176">
        <v>2</v>
      </c>
      <c r="E30" s="7">
        <f>D30*D1/1000</f>
        <v>0</v>
      </c>
      <c r="F30" s="203" t="s">
        <v>81</v>
      </c>
      <c r="G30" s="264">
        <v>0.02</v>
      </c>
      <c r="H30" s="264">
        <f>1*G30</f>
        <v>0.02</v>
      </c>
      <c r="I30" s="264">
        <f>G30*0.5</f>
        <v>0.01</v>
      </c>
      <c r="J30" s="264">
        <f>0</f>
        <v>0</v>
      </c>
      <c r="K30" s="264">
        <f t="shared" si="6"/>
        <v>0.12</v>
      </c>
    </row>
    <row r="31" spans="1:11">
      <c r="A31" s="434"/>
      <c r="B31" s="447"/>
      <c r="C31" s="14" t="s">
        <v>25</v>
      </c>
      <c r="D31" s="176">
        <v>0.2</v>
      </c>
      <c r="E31" s="8">
        <f>D31*D1/1000</f>
        <v>0</v>
      </c>
      <c r="F31" s="9" t="s">
        <v>24</v>
      </c>
      <c r="G31" s="265"/>
      <c r="H31" s="264"/>
      <c r="I31" s="264"/>
      <c r="J31" s="264"/>
      <c r="K31" s="264"/>
    </row>
    <row r="32" spans="1:11">
      <c r="A32" s="434"/>
      <c r="B32" s="447"/>
      <c r="C32" s="14" t="s">
        <v>23</v>
      </c>
      <c r="D32" s="176">
        <v>2</v>
      </c>
      <c r="E32" s="7">
        <f>D32*D1/1000</f>
        <v>0</v>
      </c>
      <c r="F32" s="9" t="s">
        <v>24</v>
      </c>
      <c r="G32" s="265"/>
      <c r="H32" s="264"/>
      <c r="I32" s="264"/>
      <c r="J32" s="264"/>
      <c r="K32" s="264"/>
    </row>
    <row r="33" spans="1:11">
      <c r="A33" s="435"/>
      <c r="B33" s="447"/>
      <c r="C33" s="14" t="s">
        <v>39</v>
      </c>
      <c r="D33" s="176">
        <v>3</v>
      </c>
      <c r="E33" s="7">
        <f>D33*D1/1000</f>
        <v>0</v>
      </c>
      <c r="F33" s="203" t="s">
        <v>88</v>
      </c>
      <c r="G33" s="264">
        <f>3/20</f>
        <v>0.15</v>
      </c>
      <c r="H33" s="264">
        <f>G33*2</f>
        <v>0.3</v>
      </c>
      <c r="I33" s="264">
        <f>G33*15</f>
        <v>2.25</v>
      </c>
      <c r="J33" s="264">
        <f>G33*0</f>
        <v>0</v>
      </c>
      <c r="K33" s="264">
        <f>H33*4+I33*4+J33*9</f>
        <v>10.199999999999999</v>
      </c>
    </row>
    <row r="34" spans="1:11">
      <c r="A34" s="448" t="s">
        <v>2</v>
      </c>
      <c r="B34" s="174" t="s">
        <v>10</v>
      </c>
      <c r="C34" s="14" t="s">
        <v>129</v>
      </c>
      <c r="D34" s="9" t="s">
        <v>40</v>
      </c>
      <c r="E34" s="8"/>
      <c r="F34" s="203" t="s">
        <v>75</v>
      </c>
      <c r="G34" s="264">
        <v>1</v>
      </c>
      <c r="H34" s="270">
        <f>G34*8</f>
        <v>8</v>
      </c>
      <c r="I34" s="264">
        <f>G34*12</f>
        <v>12</v>
      </c>
      <c r="J34" s="264">
        <f>G34*4</f>
        <v>4</v>
      </c>
      <c r="K34" s="264">
        <f>H34*4+I34*4+J34*9</f>
        <v>116</v>
      </c>
    </row>
    <row r="35" spans="1:11" s="173" customFormat="1">
      <c r="A35" s="449"/>
      <c r="B35" s="440" t="s">
        <v>500</v>
      </c>
      <c r="C35" s="216" t="s">
        <v>502</v>
      </c>
      <c r="D35" s="46">
        <v>25</v>
      </c>
      <c r="E35" s="219">
        <f>D35*E13/1000</f>
        <v>0</v>
      </c>
      <c r="F35" s="46" t="s">
        <v>88</v>
      </c>
      <c r="G35" s="271">
        <f>D35/20</f>
        <v>1.25</v>
      </c>
      <c r="H35" s="272">
        <f>G35*2</f>
        <v>2.5</v>
      </c>
      <c r="I35" s="271">
        <f>G35*15</f>
        <v>18.75</v>
      </c>
      <c r="J35" s="269"/>
      <c r="K35" s="264">
        <f t="shared" ref="K35:K41" si="7">H35*4+I35*4+J35*9</f>
        <v>85</v>
      </c>
    </row>
    <row r="36" spans="1:11">
      <c r="A36" s="449"/>
      <c r="B36" s="434"/>
      <c r="C36" s="216" t="s">
        <v>503</v>
      </c>
      <c r="D36" s="46">
        <v>2</v>
      </c>
      <c r="E36" s="219">
        <f>D36*E13/1000</f>
        <v>0</v>
      </c>
      <c r="F36" s="46"/>
      <c r="G36" s="271">
        <f>D36/8</f>
        <v>0.25</v>
      </c>
      <c r="H36" s="272"/>
      <c r="I36" s="273"/>
      <c r="J36" s="271">
        <f>G36*5</f>
        <v>1.25</v>
      </c>
      <c r="K36" s="264">
        <f t="shared" si="7"/>
        <v>11.25</v>
      </c>
    </row>
    <row r="37" spans="1:11" s="173" customFormat="1">
      <c r="A37" s="449"/>
      <c r="B37" s="434"/>
      <c r="C37" s="216" t="s">
        <v>184</v>
      </c>
      <c r="D37" s="46">
        <v>8</v>
      </c>
      <c r="E37" s="219">
        <f>D37*E13/1000</f>
        <v>0</v>
      </c>
      <c r="F37" s="218" t="s">
        <v>112</v>
      </c>
      <c r="G37" s="271">
        <f>D37/55</f>
        <v>0.14545454545454545</v>
      </c>
      <c r="H37" s="272">
        <f>G37*7</f>
        <v>1.0181818181818181</v>
      </c>
      <c r="I37" s="274"/>
      <c r="J37" s="271">
        <f>G37*5</f>
        <v>0.72727272727272729</v>
      </c>
      <c r="K37" s="264">
        <f t="shared" si="7"/>
        <v>10.618181818181817</v>
      </c>
    </row>
    <row r="38" spans="1:11" s="173" customFormat="1">
      <c r="A38" s="449"/>
      <c r="B38" s="434"/>
      <c r="C38" s="216" t="s">
        <v>504</v>
      </c>
      <c r="D38" s="46">
        <v>5</v>
      </c>
      <c r="E38" s="219">
        <f>D38*E13/1000</f>
        <v>0</v>
      </c>
      <c r="F38" s="46"/>
      <c r="G38" s="271"/>
      <c r="H38" s="272"/>
      <c r="I38" s="271">
        <v>5</v>
      </c>
      <c r="J38" s="269"/>
      <c r="K38" s="264">
        <f t="shared" si="7"/>
        <v>20</v>
      </c>
    </row>
    <row r="39" spans="1:11" s="173" customFormat="1">
      <c r="A39" s="449"/>
      <c r="B39" s="435"/>
      <c r="C39" s="216" t="s">
        <v>83</v>
      </c>
      <c r="D39" s="46">
        <v>5</v>
      </c>
      <c r="E39" s="219">
        <f>D39*E13/1000</f>
        <v>0</v>
      </c>
      <c r="F39" s="46"/>
      <c r="G39" s="271"/>
      <c r="H39" s="272"/>
      <c r="I39" s="274"/>
      <c r="J39" s="271">
        <f>D39</f>
        <v>5</v>
      </c>
      <c r="K39" s="264">
        <f t="shared" si="7"/>
        <v>45</v>
      </c>
    </row>
    <row r="40" spans="1:11" s="342" customFormat="1">
      <c r="A40" s="450"/>
      <c r="B40" s="343" t="s">
        <v>627</v>
      </c>
      <c r="C40" s="212" t="s">
        <v>628</v>
      </c>
      <c r="D40" s="213"/>
      <c r="E40" s="214"/>
      <c r="F40" s="344" t="s">
        <v>498</v>
      </c>
      <c r="G40" s="267">
        <v>1</v>
      </c>
      <c r="H40" s="268"/>
      <c r="I40" s="267">
        <f>+G40*15</f>
        <v>15</v>
      </c>
      <c r="J40" s="274"/>
      <c r="K40" s="264">
        <f t="shared" si="7"/>
        <v>60</v>
      </c>
    </row>
    <row r="41" spans="1:11" ht="21">
      <c r="A41" s="445" t="s">
        <v>499</v>
      </c>
      <c r="B41" s="446"/>
      <c r="C41" s="206"/>
      <c r="D41" s="207"/>
      <c r="E41" s="207"/>
      <c r="F41" s="207"/>
      <c r="G41" s="208"/>
      <c r="H41" s="209">
        <f>SUM(H3:H39)</f>
        <v>29.287848484848489</v>
      </c>
      <c r="I41" s="209">
        <f>SUM(I3:I40)</f>
        <v>97.284999999999968</v>
      </c>
      <c r="J41" s="209">
        <f>SUM(J3:J39)</f>
        <v>22.991558441558439</v>
      </c>
      <c r="K41" s="209">
        <f t="shared" si="7"/>
        <v>713.21541991341974</v>
      </c>
    </row>
    <row r="42" spans="1:11" ht="19.5">
      <c r="A42" s="436" t="s">
        <v>537</v>
      </c>
      <c r="B42" s="437"/>
      <c r="C42" s="74"/>
      <c r="D42" s="74"/>
      <c r="E42" s="74"/>
      <c r="F42" s="259"/>
      <c r="G42" s="259"/>
      <c r="H42" s="258">
        <f>+H41*4/K41</f>
        <v>0.164258077809949</v>
      </c>
      <c r="I42" s="257">
        <f>+I41*4/K41</f>
        <v>0.54561355396275535</v>
      </c>
      <c r="J42" s="257">
        <f>+J41*9/K41</f>
        <v>0.29012836822729565</v>
      </c>
      <c r="K42" s="257">
        <f>+H42+I42+J42</f>
        <v>1</v>
      </c>
    </row>
  </sheetData>
  <mergeCells count="14">
    <mergeCell ref="F1:K1"/>
    <mergeCell ref="B11:B12"/>
    <mergeCell ref="A42:B42"/>
    <mergeCell ref="A3:A10"/>
    <mergeCell ref="B35:B39"/>
    <mergeCell ref="B3:B10"/>
    <mergeCell ref="A1:B1"/>
    <mergeCell ref="A41:B41"/>
    <mergeCell ref="A11:A33"/>
    <mergeCell ref="B27:B33"/>
    <mergeCell ref="B18:B22"/>
    <mergeCell ref="B23:B26"/>
    <mergeCell ref="B13:B17"/>
    <mergeCell ref="A34:A40"/>
  </mergeCells>
  <phoneticPr fontId="3" type="noConversion"/>
  <pageMargins left="0.56999999999999995" right="0.6" top="1" bottom="1" header="0.5" footer="0.5"/>
  <pageSetup paperSize="9" scale="98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70" zoomScaleNormal="70" workbookViewId="0">
      <selection activeCell="I31" sqref="I31"/>
    </sheetView>
  </sheetViews>
  <sheetFormatPr defaultRowHeight="16.5"/>
  <cols>
    <col min="1" max="1" width="5.5" customWidth="1"/>
    <col min="2" max="2" width="13" customWidth="1"/>
    <col min="3" max="3" width="12.25" customWidth="1"/>
    <col min="4" max="4" width="6.375" customWidth="1"/>
    <col min="5" max="5" width="9.375" customWidth="1"/>
    <col min="6" max="6" width="5.5" style="80" customWidth="1"/>
    <col min="7" max="7" width="7.625" style="80" customWidth="1"/>
    <col min="8" max="8" width="10" style="80" customWidth="1"/>
    <col min="9" max="9" width="9" style="80"/>
    <col min="10" max="10" width="8" style="80" customWidth="1"/>
    <col min="11" max="11" width="8.375" style="80" customWidth="1"/>
  </cols>
  <sheetData>
    <row r="1" spans="1:11" ht="39.950000000000003" customHeight="1">
      <c r="A1" s="544" t="s">
        <v>186</v>
      </c>
      <c r="B1" s="544"/>
      <c r="C1" s="167" t="s">
        <v>187</v>
      </c>
      <c r="D1" s="112"/>
      <c r="E1" s="168" t="s">
        <v>188</v>
      </c>
      <c r="F1" s="504" t="s">
        <v>150</v>
      </c>
      <c r="G1" s="504"/>
      <c r="H1" s="504"/>
      <c r="I1" s="504"/>
      <c r="J1" s="504"/>
      <c r="K1" s="504"/>
    </row>
    <row r="2" spans="1:11" ht="19.5">
      <c r="A2" s="70" t="s">
        <v>16</v>
      </c>
      <c r="B2" s="71" t="s">
        <v>17</v>
      </c>
      <c r="C2" s="72" t="s">
        <v>18</v>
      </c>
      <c r="D2" s="73" t="s">
        <v>20</v>
      </c>
      <c r="E2" s="71" t="s">
        <v>131</v>
      </c>
      <c r="F2" s="37" t="s">
        <v>130</v>
      </c>
      <c r="G2" s="37" t="s">
        <v>132</v>
      </c>
      <c r="H2" s="37" t="s">
        <v>189</v>
      </c>
      <c r="I2" s="38" t="s">
        <v>190</v>
      </c>
      <c r="J2" s="38" t="s">
        <v>191</v>
      </c>
      <c r="K2" s="38" t="s">
        <v>192</v>
      </c>
    </row>
    <row r="3" spans="1:11">
      <c r="A3" s="438" t="s">
        <v>0</v>
      </c>
      <c r="B3" s="441" t="s">
        <v>297</v>
      </c>
      <c r="C3" s="12" t="s">
        <v>298</v>
      </c>
      <c r="D3" s="31">
        <v>20</v>
      </c>
      <c r="E3" s="7">
        <f>D3*D$1/1000</f>
        <v>0</v>
      </c>
      <c r="F3" s="76" t="s">
        <v>88</v>
      </c>
      <c r="G3" s="225">
        <f>D3/20</f>
        <v>1</v>
      </c>
      <c r="H3" s="246">
        <f>G3*2</f>
        <v>2</v>
      </c>
      <c r="I3" s="246">
        <f>G3*15</f>
        <v>15</v>
      </c>
      <c r="J3" s="246">
        <v>0</v>
      </c>
      <c r="K3" s="221">
        <f t="shared" ref="K3:K8" si="0">H3*4+I3*4+J3*9</f>
        <v>68</v>
      </c>
    </row>
    <row r="4" spans="1:11">
      <c r="A4" s="439"/>
      <c r="B4" s="442"/>
      <c r="C4" s="12" t="s">
        <v>23</v>
      </c>
      <c r="D4" s="31">
        <v>2</v>
      </c>
      <c r="E4" s="7">
        <f t="shared" ref="E4:E24" si="1">D4*D$1/1000</f>
        <v>0</v>
      </c>
      <c r="F4" s="77" t="s">
        <v>24</v>
      </c>
      <c r="G4" s="251" t="s">
        <v>24</v>
      </c>
      <c r="H4" s="221"/>
      <c r="I4" s="221"/>
      <c r="J4" s="221"/>
      <c r="K4" s="221">
        <f t="shared" si="0"/>
        <v>0</v>
      </c>
    </row>
    <row r="5" spans="1:11">
      <c r="A5" s="439"/>
      <c r="B5" s="442"/>
      <c r="C5" s="12" t="s">
        <v>19</v>
      </c>
      <c r="D5" s="31">
        <v>0.3</v>
      </c>
      <c r="E5" s="7">
        <f t="shared" si="1"/>
        <v>0</v>
      </c>
      <c r="F5" s="77" t="s">
        <v>24</v>
      </c>
      <c r="G5" s="251" t="s">
        <v>24</v>
      </c>
      <c r="H5" s="221"/>
      <c r="I5" s="221"/>
      <c r="J5" s="221"/>
      <c r="K5" s="221">
        <f t="shared" si="0"/>
        <v>0</v>
      </c>
    </row>
    <row r="6" spans="1:11">
      <c r="A6" s="439"/>
      <c r="B6" s="442"/>
      <c r="C6" s="13" t="s">
        <v>21</v>
      </c>
      <c r="D6" s="31">
        <v>0.5</v>
      </c>
      <c r="E6" s="7">
        <f t="shared" si="1"/>
        <v>0</v>
      </c>
      <c r="F6" s="77" t="s">
        <v>24</v>
      </c>
      <c r="G6" s="251" t="s">
        <v>24</v>
      </c>
      <c r="H6" s="221"/>
      <c r="I6" s="221"/>
      <c r="J6" s="221"/>
      <c r="K6" s="221">
        <f t="shared" si="0"/>
        <v>0</v>
      </c>
    </row>
    <row r="7" spans="1:11">
      <c r="A7" s="439"/>
      <c r="B7" s="442"/>
      <c r="C7" s="13" t="s">
        <v>22</v>
      </c>
      <c r="D7" s="31">
        <v>2</v>
      </c>
      <c r="E7" s="7">
        <f t="shared" si="1"/>
        <v>0</v>
      </c>
      <c r="F7" s="76" t="s">
        <v>81</v>
      </c>
      <c r="G7" s="225">
        <f>D7/100</f>
        <v>0.02</v>
      </c>
      <c r="H7" s="221">
        <f>1*G7</f>
        <v>0.02</v>
      </c>
      <c r="I7" s="221">
        <f>G7*5</f>
        <v>0.1</v>
      </c>
      <c r="J7" s="221">
        <f>0</f>
        <v>0</v>
      </c>
      <c r="K7" s="221">
        <f t="shared" si="0"/>
        <v>0.48000000000000004</v>
      </c>
    </row>
    <row r="8" spans="1:11">
      <c r="A8" s="439"/>
      <c r="B8" s="442"/>
      <c r="C8" s="13" t="s">
        <v>80</v>
      </c>
      <c r="D8" s="31">
        <v>10</v>
      </c>
      <c r="E8" s="7">
        <f t="shared" si="1"/>
        <v>0</v>
      </c>
      <c r="F8" s="78" t="s">
        <v>112</v>
      </c>
      <c r="G8" s="251">
        <v>0.15</v>
      </c>
      <c r="H8" s="221">
        <f>G8*7</f>
        <v>1.05</v>
      </c>
      <c r="I8" s="221">
        <f>G8*0</f>
        <v>0</v>
      </c>
      <c r="J8" s="221">
        <f>G8*5</f>
        <v>0.75</v>
      </c>
      <c r="K8" s="221">
        <f t="shared" si="0"/>
        <v>10.95</v>
      </c>
    </row>
    <row r="9" spans="1:11">
      <c r="A9" s="440" t="s">
        <v>1</v>
      </c>
      <c r="B9" s="32" t="s">
        <v>299</v>
      </c>
      <c r="C9" s="14" t="s">
        <v>28</v>
      </c>
      <c r="D9" s="47">
        <v>40</v>
      </c>
      <c r="E9" s="7">
        <f t="shared" si="1"/>
        <v>0</v>
      </c>
      <c r="F9" s="75" t="s">
        <v>88</v>
      </c>
      <c r="G9" s="246">
        <f>D9/20</f>
        <v>2</v>
      </c>
      <c r="H9" s="246">
        <f>G9*2</f>
        <v>4</v>
      </c>
      <c r="I9" s="246">
        <f>G9*15</f>
        <v>30</v>
      </c>
      <c r="J9" s="246">
        <v>0</v>
      </c>
      <c r="K9" s="246">
        <f t="shared" ref="K9:K11" si="2">H9*4+I9*4+J9*9</f>
        <v>136</v>
      </c>
    </row>
    <row r="10" spans="1:11">
      <c r="A10" s="434"/>
      <c r="B10" s="540" t="s">
        <v>598</v>
      </c>
      <c r="C10" s="216" t="s">
        <v>323</v>
      </c>
      <c r="D10" s="46">
        <v>20</v>
      </c>
      <c r="E10" s="7">
        <f t="shared" si="1"/>
        <v>0</v>
      </c>
      <c r="F10" s="78" t="s">
        <v>112</v>
      </c>
      <c r="G10" s="251">
        <f>D10/35</f>
        <v>0.5714285714285714</v>
      </c>
      <c r="H10" s="221">
        <f>G10*7</f>
        <v>4</v>
      </c>
      <c r="I10" s="221">
        <f>G10*0</f>
        <v>0</v>
      </c>
      <c r="J10" s="221">
        <f>G10*5</f>
        <v>2.8571428571428568</v>
      </c>
      <c r="K10" s="221">
        <f t="shared" si="2"/>
        <v>41.714285714285708</v>
      </c>
    </row>
    <row r="11" spans="1:11">
      <c r="A11" s="434"/>
      <c r="B11" s="521"/>
      <c r="C11" s="227" t="s">
        <v>512</v>
      </c>
      <c r="D11" s="46">
        <v>15</v>
      </c>
      <c r="E11" s="7">
        <f t="shared" si="1"/>
        <v>0</v>
      </c>
      <c r="F11" s="78" t="s">
        <v>112</v>
      </c>
      <c r="G11" s="251">
        <f>D11/80</f>
        <v>0.1875</v>
      </c>
      <c r="H11" s="221">
        <f>G11*7</f>
        <v>1.3125</v>
      </c>
      <c r="I11" s="221">
        <f>G11*0</f>
        <v>0</v>
      </c>
      <c r="J11" s="221">
        <f>G11*3</f>
        <v>0.5625</v>
      </c>
      <c r="K11" s="221">
        <f t="shared" si="2"/>
        <v>10.3125</v>
      </c>
    </row>
    <row r="12" spans="1:11">
      <c r="A12" s="434"/>
      <c r="B12" s="521"/>
      <c r="C12" s="216" t="s">
        <v>543</v>
      </c>
      <c r="D12" s="46">
        <v>5</v>
      </c>
      <c r="E12" s="7">
        <f t="shared" si="1"/>
        <v>0</v>
      </c>
      <c r="F12" s="186" t="s">
        <v>88</v>
      </c>
      <c r="G12" s="246">
        <f>D12/100</f>
        <v>0.05</v>
      </c>
      <c r="H12" s="246">
        <f>G12*2</f>
        <v>0.1</v>
      </c>
      <c r="I12" s="246">
        <f>G12*15</f>
        <v>0.75</v>
      </c>
      <c r="J12" s="246">
        <v>0</v>
      </c>
      <c r="K12" s="246">
        <f t="shared" ref="K12:K13" si="3">H12*4+I12*4+J12*9</f>
        <v>3.4</v>
      </c>
    </row>
    <row r="13" spans="1:11">
      <c r="A13" s="434"/>
      <c r="B13" s="521"/>
      <c r="C13" s="216" t="s">
        <v>397</v>
      </c>
      <c r="D13" s="46">
        <v>15</v>
      </c>
      <c r="E13" s="7">
        <f t="shared" si="1"/>
        <v>0</v>
      </c>
      <c r="F13" s="76" t="s">
        <v>81</v>
      </c>
      <c r="G13" s="225">
        <f>D13/100</f>
        <v>0.15</v>
      </c>
      <c r="H13" s="221">
        <f>1*G13</f>
        <v>0.15</v>
      </c>
      <c r="I13" s="221">
        <f>G13*5</f>
        <v>0.75</v>
      </c>
      <c r="J13" s="221">
        <f>0</f>
        <v>0</v>
      </c>
      <c r="K13" s="221">
        <f t="shared" si="3"/>
        <v>3.6</v>
      </c>
    </row>
    <row r="14" spans="1:11">
      <c r="A14" s="434"/>
      <c r="B14" s="522"/>
      <c r="C14" s="216" t="s">
        <v>593</v>
      </c>
      <c r="D14" s="46">
        <v>5</v>
      </c>
      <c r="E14" s="7">
        <f t="shared" si="1"/>
        <v>0</v>
      </c>
      <c r="F14" s="186" t="s">
        <v>110</v>
      </c>
      <c r="G14" s="229">
        <f>D14/5</f>
        <v>1</v>
      </c>
      <c r="H14" s="229">
        <f>0</f>
        <v>0</v>
      </c>
      <c r="I14" s="229">
        <f>G14*0</f>
        <v>0</v>
      </c>
      <c r="J14" s="229">
        <f>G14*5</f>
        <v>5</v>
      </c>
      <c r="K14" s="221">
        <f>H14*4+I14*4+J14*9</f>
        <v>45</v>
      </c>
    </row>
    <row r="15" spans="1:11">
      <c r="A15" s="434"/>
      <c r="B15" s="540" t="s">
        <v>599</v>
      </c>
      <c r="C15" s="216" t="s">
        <v>184</v>
      </c>
      <c r="D15" s="46">
        <v>30</v>
      </c>
      <c r="E15" s="7">
        <f t="shared" si="1"/>
        <v>0</v>
      </c>
      <c r="F15" s="78" t="s">
        <v>112</v>
      </c>
      <c r="G15" s="251">
        <f>D15/55</f>
        <v>0.54545454545454541</v>
      </c>
      <c r="H15" s="221">
        <f>G15*7</f>
        <v>3.8181818181818179</v>
      </c>
      <c r="I15" s="221">
        <f>G15*0</f>
        <v>0</v>
      </c>
      <c r="J15" s="221">
        <f>G15*3</f>
        <v>1.6363636363636362</v>
      </c>
      <c r="K15" s="221">
        <f t="shared" ref="K15:K17" si="4">H15*4+I15*4+J15*9</f>
        <v>30</v>
      </c>
    </row>
    <row r="16" spans="1:11">
      <c r="A16" s="434"/>
      <c r="B16" s="521"/>
      <c r="C16" s="216" t="s">
        <v>53</v>
      </c>
      <c r="D16" s="46">
        <v>15</v>
      </c>
      <c r="E16" s="7">
        <f t="shared" si="1"/>
        <v>0</v>
      </c>
      <c r="F16" s="76" t="s">
        <v>81</v>
      </c>
      <c r="G16" s="225">
        <f>D16/100</f>
        <v>0.15</v>
      </c>
      <c r="H16" s="221">
        <f>1*G16</f>
        <v>0.15</v>
      </c>
      <c r="I16" s="221">
        <f>G16*5</f>
        <v>0.75</v>
      </c>
      <c r="J16" s="221">
        <f>0</f>
        <v>0</v>
      </c>
      <c r="K16" s="221">
        <f t="shared" si="4"/>
        <v>3.6</v>
      </c>
    </row>
    <row r="17" spans="1:11">
      <c r="A17" s="434"/>
      <c r="B17" s="521"/>
      <c r="C17" s="216" t="s">
        <v>224</v>
      </c>
      <c r="D17" s="46">
        <v>3</v>
      </c>
      <c r="E17" s="7">
        <f t="shared" si="1"/>
        <v>0</v>
      </c>
      <c r="F17" s="76" t="s">
        <v>81</v>
      </c>
      <c r="G17" s="225">
        <f>D17/100</f>
        <v>0.03</v>
      </c>
      <c r="H17" s="221">
        <f>1*G17</f>
        <v>0.03</v>
      </c>
      <c r="I17" s="221">
        <f>G17*5</f>
        <v>0.15</v>
      </c>
      <c r="J17" s="221">
        <f>0</f>
        <v>0</v>
      </c>
      <c r="K17" s="221">
        <f t="shared" si="4"/>
        <v>0.72</v>
      </c>
    </row>
    <row r="18" spans="1:11">
      <c r="A18" s="434"/>
      <c r="B18" s="522"/>
      <c r="C18" s="216" t="s">
        <v>61</v>
      </c>
      <c r="D18" s="46">
        <v>5</v>
      </c>
      <c r="E18" s="7">
        <f t="shared" si="1"/>
        <v>0</v>
      </c>
      <c r="F18" s="186" t="s">
        <v>110</v>
      </c>
      <c r="G18" s="229">
        <f>D18/5</f>
        <v>1</v>
      </c>
      <c r="H18" s="229"/>
      <c r="I18" s="229"/>
      <c r="J18" s="229">
        <f>G18*5</f>
        <v>5</v>
      </c>
      <c r="K18" s="221">
        <f>H18*4+I18*4+J18*9</f>
        <v>45</v>
      </c>
    </row>
    <row r="19" spans="1:11">
      <c r="A19" s="434"/>
      <c r="B19" s="540" t="s">
        <v>600</v>
      </c>
      <c r="C19" s="216" t="s">
        <v>601</v>
      </c>
      <c r="D19" s="46">
        <v>30</v>
      </c>
      <c r="E19" s="7">
        <f t="shared" si="1"/>
        <v>0</v>
      </c>
      <c r="F19" s="76" t="s">
        <v>81</v>
      </c>
      <c r="G19" s="225">
        <f>D19/100</f>
        <v>0.3</v>
      </c>
      <c r="H19" s="221">
        <f>1*G19</f>
        <v>0.3</v>
      </c>
      <c r="I19" s="221">
        <f>G19*5</f>
        <v>1.5</v>
      </c>
      <c r="J19" s="221">
        <f>0</f>
        <v>0</v>
      </c>
      <c r="K19" s="221">
        <f t="shared" ref="K19" si="5">H19*4+I19*4+J19*9</f>
        <v>7.2</v>
      </c>
    </row>
    <row r="20" spans="1:11">
      <c r="A20" s="434"/>
      <c r="B20" s="522"/>
      <c r="C20" s="216" t="s">
        <v>61</v>
      </c>
      <c r="D20" s="46">
        <v>3</v>
      </c>
      <c r="E20" s="7">
        <f t="shared" si="1"/>
        <v>0</v>
      </c>
      <c r="F20" s="186" t="s">
        <v>110</v>
      </c>
      <c r="G20" s="229">
        <f>D20/5</f>
        <v>0.6</v>
      </c>
      <c r="H20" s="229">
        <f>0</f>
        <v>0</v>
      </c>
      <c r="I20" s="229">
        <f>G20*0</f>
        <v>0</v>
      </c>
      <c r="J20" s="229">
        <f>G20*5</f>
        <v>3</v>
      </c>
      <c r="K20" s="221">
        <f>H20*4+I20*4+J20*9</f>
        <v>27</v>
      </c>
    </row>
    <row r="21" spans="1:11">
      <c r="A21" s="434"/>
      <c r="B21" s="540" t="s">
        <v>602</v>
      </c>
      <c r="C21" s="216" t="s">
        <v>603</v>
      </c>
      <c r="D21" s="46">
        <v>5</v>
      </c>
      <c r="E21" s="7">
        <f t="shared" si="1"/>
        <v>0</v>
      </c>
      <c r="F21" s="76" t="s">
        <v>81</v>
      </c>
      <c r="G21" s="225">
        <f>D21/100</f>
        <v>0.05</v>
      </c>
      <c r="H21" s="221">
        <f>1*G21</f>
        <v>0.05</v>
      </c>
      <c r="I21" s="221">
        <f>G21*5</f>
        <v>0.25</v>
      </c>
      <c r="J21" s="221">
        <f>0</f>
        <v>0</v>
      </c>
      <c r="K21" s="221">
        <f t="shared" ref="K21:K29" si="6">H21*4+I21*4+J21*9</f>
        <v>1.2</v>
      </c>
    </row>
    <row r="22" spans="1:11">
      <c r="A22" s="434"/>
      <c r="B22" s="521"/>
      <c r="C22" s="216" t="s">
        <v>216</v>
      </c>
      <c r="D22" s="46">
        <v>10</v>
      </c>
      <c r="E22" s="7">
        <f t="shared" si="1"/>
        <v>0</v>
      </c>
      <c r="F22" s="76" t="s">
        <v>81</v>
      </c>
      <c r="G22" s="225">
        <f>D22/100</f>
        <v>0.1</v>
      </c>
      <c r="H22" s="221">
        <f>1*G22</f>
        <v>0.1</v>
      </c>
      <c r="I22" s="221">
        <f>G22*5</f>
        <v>0.5</v>
      </c>
      <c r="J22" s="221">
        <f>0</f>
        <v>0</v>
      </c>
      <c r="K22" s="221">
        <f t="shared" si="6"/>
        <v>2.4</v>
      </c>
    </row>
    <row r="23" spans="1:11">
      <c r="A23" s="434"/>
      <c r="B23" s="521"/>
      <c r="C23" s="216" t="s">
        <v>224</v>
      </c>
      <c r="D23" s="46">
        <v>3</v>
      </c>
      <c r="E23" s="7">
        <f t="shared" si="1"/>
        <v>0</v>
      </c>
      <c r="F23" s="76" t="s">
        <v>81</v>
      </c>
      <c r="G23" s="225">
        <f>D23/100</f>
        <v>0.03</v>
      </c>
      <c r="H23" s="221">
        <f>1*G23</f>
        <v>0.03</v>
      </c>
      <c r="I23" s="221">
        <f>G23*5</f>
        <v>0.15</v>
      </c>
      <c r="J23" s="221">
        <f>0</f>
        <v>0</v>
      </c>
      <c r="K23" s="221">
        <f t="shared" si="6"/>
        <v>0.72</v>
      </c>
    </row>
    <row r="24" spans="1:11">
      <c r="A24" s="434"/>
      <c r="B24" s="522"/>
      <c r="C24" s="216" t="s">
        <v>551</v>
      </c>
      <c r="D24" s="46">
        <v>15</v>
      </c>
      <c r="E24" s="7">
        <f t="shared" si="1"/>
        <v>0</v>
      </c>
      <c r="F24" s="78" t="s">
        <v>112</v>
      </c>
      <c r="G24" s="251">
        <f>D24/35</f>
        <v>0.42857142857142855</v>
      </c>
      <c r="H24" s="221">
        <f>G24*7</f>
        <v>3</v>
      </c>
      <c r="I24" s="221">
        <f>G24*0</f>
        <v>0</v>
      </c>
      <c r="J24" s="221">
        <f>G24*3</f>
        <v>1.2857142857142856</v>
      </c>
      <c r="K24" s="221">
        <f t="shared" si="6"/>
        <v>23.571428571428569</v>
      </c>
    </row>
    <row r="25" spans="1:11" ht="16.5" customHeight="1">
      <c r="A25" s="440" t="s">
        <v>2</v>
      </c>
      <c r="B25" s="500" t="s">
        <v>672</v>
      </c>
      <c r="C25" s="14" t="s">
        <v>673</v>
      </c>
      <c r="D25" s="9">
        <v>8</v>
      </c>
      <c r="E25" s="8" t="e">
        <f>D25*#REF!/1000</f>
        <v>#REF!</v>
      </c>
      <c r="F25" s="186" t="s">
        <v>88</v>
      </c>
      <c r="G25" s="81">
        <f>D25/25</f>
        <v>0.32</v>
      </c>
      <c r="H25" s="186">
        <f>G25*2</f>
        <v>0.64</v>
      </c>
      <c r="I25" s="186">
        <f>G25*15</f>
        <v>4.8</v>
      </c>
      <c r="J25" s="186">
        <v>0</v>
      </c>
      <c r="K25" s="186">
        <f t="shared" si="6"/>
        <v>21.759999999999998</v>
      </c>
    </row>
    <row r="26" spans="1:11">
      <c r="A26" s="434"/>
      <c r="B26" s="500"/>
      <c r="C26" s="14" t="s">
        <v>674</v>
      </c>
      <c r="D26" s="31">
        <v>15</v>
      </c>
      <c r="E26" s="8" t="e">
        <f>D26*#REF!/1000</f>
        <v>#REF!</v>
      </c>
      <c r="F26" s="186" t="s">
        <v>88</v>
      </c>
      <c r="G26" s="186">
        <f>D26/30</f>
        <v>0.5</v>
      </c>
      <c r="H26" s="186">
        <f>G26*2</f>
        <v>1</v>
      </c>
      <c r="I26" s="186">
        <f>G26*15</f>
        <v>7.5</v>
      </c>
      <c r="J26" s="186">
        <v>0</v>
      </c>
      <c r="K26" s="186">
        <f t="shared" si="6"/>
        <v>34</v>
      </c>
    </row>
    <row r="27" spans="1:11">
      <c r="A27" s="434"/>
      <c r="B27" s="500"/>
      <c r="C27" s="14" t="s">
        <v>87</v>
      </c>
      <c r="D27" s="9">
        <v>10</v>
      </c>
      <c r="E27" s="8" t="e">
        <f>D27*#REF!/1000</f>
        <v>#REF!</v>
      </c>
      <c r="F27" s="77" t="s">
        <v>24</v>
      </c>
      <c r="G27" s="186">
        <f>D27</f>
        <v>10</v>
      </c>
      <c r="H27" s="186">
        <v>0</v>
      </c>
      <c r="I27" s="186">
        <f>G27*1</f>
        <v>10</v>
      </c>
      <c r="J27" s="186"/>
      <c r="K27" s="186">
        <f t="shared" si="6"/>
        <v>40</v>
      </c>
    </row>
    <row r="28" spans="1:11" s="182" customFormat="1">
      <c r="A28" s="434"/>
      <c r="B28" s="254" t="s">
        <v>535</v>
      </c>
      <c r="C28" s="255" t="s">
        <v>536</v>
      </c>
      <c r="D28" s="256">
        <v>150</v>
      </c>
      <c r="E28" s="7">
        <f>D28*D$1/1000</f>
        <v>0</v>
      </c>
      <c r="F28" s="186" t="s">
        <v>75</v>
      </c>
      <c r="G28" s="221">
        <f>D28/240</f>
        <v>0.625</v>
      </c>
      <c r="H28" s="221">
        <f>G28*8</f>
        <v>5</v>
      </c>
      <c r="I28" s="221">
        <f>G28*12</f>
        <v>7.5</v>
      </c>
      <c r="J28" s="221">
        <f>G28*4</f>
        <v>2.5</v>
      </c>
      <c r="K28" s="186">
        <f t="shared" si="6"/>
        <v>72.5</v>
      </c>
    </row>
    <row r="29" spans="1:11" s="342" customFormat="1">
      <c r="A29" s="435"/>
      <c r="B29" s="2" t="s">
        <v>648</v>
      </c>
      <c r="C29" s="14" t="s">
        <v>649</v>
      </c>
      <c r="D29" s="347"/>
      <c r="E29" s="7">
        <f t="shared" ref="E29" si="7">D29*D$1/1000</f>
        <v>0</v>
      </c>
      <c r="F29" s="346" t="s">
        <v>8</v>
      </c>
      <c r="G29" s="282">
        <v>1</v>
      </c>
      <c r="H29" s="282">
        <f>G29*0</f>
        <v>0</v>
      </c>
      <c r="I29" s="282">
        <f>G29*15</f>
        <v>15</v>
      </c>
      <c r="J29" s="282">
        <f>G29*0</f>
        <v>0</v>
      </c>
      <c r="K29" s="282">
        <f t="shared" si="6"/>
        <v>60</v>
      </c>
    </row>
    <row r="30" spans="1:11" ht="21">
      <c r="A30" s="487" t="s">
        <v>499</v>
      </c>
      <c r="B30" s="487"/>
      <c r="C30" s="234"/>
      <c r="D30" s="235"/>
      <c r="E30" s="235"/>
      <c r="F30" s="236"/>
      <c r="G30" s="236"/>
      <c r="H30" s="237">
        <f>SUM(H3:H28)</f>
        <v>26.750681818181821</v>
      </c>
      <c r="I30" s="237">
        <f>SUM(I3:I29)</f>
        <v>94.699999999999989</v>
      </c>
      <c r="J30" s="237">
        <f>SUM(J3:J28)</f>
        <v>22.591720779220779</v>
      </c>
      <c r="K30" s="292">
        <f t="shared" ref="K30" si="8">H30*4+I30*4+J30*9</f>
        <v>689.12821428571419</v>
      </c>
    </row>
    <row r="31" spans="1:11" ht="21">
      <c r="A31" s="461" t="s">
        <v>537</v>
      </c>
      <c r="B31" s="462"/>
      <c r="C31" s="261"/>
      <c r="D31" s="261"/>
      <c r="E31" s="261"/>
      <c r="F31" s="262"/>
      <c r="G31" s="262"/>
      <c r="H31" s="326">
        <f>+H30*4/K30</f>
        <v>0.15527259667293741</v>
      </c>
      <c r="I31" s="326">
        <f>+I30*4/K30</f>
        <v>0.54968000460208788</v>
      </c>
      <c r="J31" s="326">
        <f>+J30*9/K30</f>
        <v>0.29504739872497487</v>
      </c>
      <c r="K31" s="326">
        <f>+H31+I31+J31</f>
        <v>1.0000000000000002</v>
      </c>
    </row>
  </sheetData>
  <mergeCells count="13">
    <mergeCell ref="A31:B31"/>
    <mergeCell ref="B25:B27"/>
    <mergeCell ref="A30:B30"/>
    <mergeCell ref="A3:A8"/>
    <mergeCell ref="F1:K1"/>
    <mergeCell ref="A9:A24"/>
    <mergeCell ref="B19:B20"/>
    <mergeCell ref="B10:B14"/>
    <mergeCell ref="B15:B18"/>
    <mergeCell ref="B21:B24"/>
    <mergeCell ref="A1:B1"/>
    <mergeCell ref="B3:B8"/>
    <mergeCell ref="A25:A29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7"/>
  <sheetViews>
    <sheetView topLeftCell="A6" zoomScale="70" zoomScaleNormal="70" workbookViewId="0">
      <selection activeCell="C25" sqref="C25"/>
    </sheetView>
  </sheetViews>
  <sheetFormatPr defaultRowHeight="16.5"/>
  <cols>
    <col min="1" max="1" width="5.5" customWidth="1"/>
    <col min="2" max="2" width="14.25" customWidth="1"/>
    <col min="3" max="3" width="12.25" customWidth="1"/>
    <col min="4" max="4" width="6.375" customWidth="1"/>
    <col min="5" max="5" width="9.125" customWidth="1"/>
    <col min="6" max="6" width="5.5" style="80" customWidth="1"/>
    <col min="7" max="7" width="6.625" style="80" customWidth="1"/>
    <col min="8" max="8" width="10" style="80" customWidth="1"/>
    <col min="9" max="9" width="9" style="80"/>
    <col min="10" max="10" width="7.75" style="80" customWidth="1"/>
    <col min="11" max="11" width="8.375" style="80" customWidth="1"/>
  </cols>
  <sheetData>
    <row r="1" spans="1:11" ht="39.950000000000003" customHeight="1">
      <c r="A1" s="544" t="s">
        <v>186</v>
      </c>
      <c r="B1" s="544"/>
      <c r="C1" s="167" t="s">
        <v>187</v>
      </c>
      <c r="D1" s="112"/>
      <c r="E1" s="168" t="s">
        <v>188</v>
      </c>
      <c r="F1" s="504" t="s">
        <v>150</v>
      </c>
      <c r="G1" s="504"/>
      <c r="H1" s="504"/>
      <c r="I1" s="504"/>
      <c r="J1" s="504"/>
      <c r="K1" s="504"/>
    </row>
    <row r="2" spans="1:11">
      <c r="A2" s="23" t="s">
        <v>16</v>
      </c>
      <c r="B2" s="28" t="s">
        <v>17</v>
      </c>
      <c r="C2" s="24" t="s">
        <v>18</v>
      </c>
      <c r="D2" s="25" t="s">
        <v>20</v>
      </c>
      <c r="E2" s="28" t="s">
        <v>131</v>
      </c>
      <c r="F2" s="37" t="s">
        <v>130</v>
      </c>
      <c r="G2" s="37" t="s">
        <v>132</v>
      </c>
      <c r="H2" s="37" t="s">
        <v>189</v>
      </c>
      <c r="I2" s="38" t="s">
        <v>190</v>
      </c>
      <c r="J2" s="38" t="s">
        <v>191</v>
      </c>
      <c r="K2" s="38" t="s">
        <v>192</v>
      </c>
    </row>
    <row r="3" spans="1:11" s="182" customFormat="1">
      <c r="A3" s="557" t="s">
        <v>0</v>
      </c>
      <c r="B3" s="482" t="s">
        <v>515</v>
      </c>
      <c r="C3" s="216" t="s">
        <v>515</v>
      </c>
      <c r="D3" s="46">
        <v>100</v>
      </c>
      <c r="E3" s="7">
        <f>D4*D$1/1000</f>
        <v>0</v>
      </c>
      <c r="F3" s="78" t="s">
        <v>151</v>
      </c>
      <c r="G3" s="282">
        <f>D3/190</f>
        <v>0.52631578947368418</v>
      </c>
      <c r="H3" s="282">
        <f>G3*7</f>
        <v>3.6842105263157894</v>
      </c>
      <c r="I3" s="282"/>
      <c r="J3" s="282">
        <f>G3*3</f>
        <v>1.5789473684210527</v>
      </c>
      <c r="K3" s="282">
        <f t="shared" ref="K3:K4" si="0">H3*4+I3*4+J3*9</f>
        <v>28.94736842105263</v>
      </c>
    </row>
    <row r="4" spans="1:11">
      <c r="A4" s="558"/>
      <c r="B4" s="482"/>
      <c r="C4" s="216" t="s">
        <v>504</v>
      </c>
      <c r="D4" s="46">
        <v>5</v>
      </c>
      <c r="E4" s="7">
        <f>D5*D$1/1000</f>
        <v>0</v>
      </c>
      <c r="F4" s="78"/>
      <c r="G4" s="282"/>
      <c r="H4" s="282"/>
      <c r="I4" s="282">
        <f>D4</f>
        <v>5</v>
      </c>
      <c r="J4" s="282"/>
      <c r="K4" s="282">
        <f t="shared" si="0"/>
        <v>20</v>
      </c>
    </row>
    <row r="5" spans="1:11">
      <c r="A5" s="559"/>
      <c r="B5" s="331" t="s">
        <v>613</v>
      </c>
      <c r="C5" s="330" t="s">
        <v>613</v>
      </c>
      <c r="D5" s="6">
        <v>60</v>
      </c>
      <c r="F5" s="78" t="s">
        <v>88</v>
      </c>
      <c r="G5" s="282">
        <v>2</v>
      </c>
      <c r="H5" s="282">
        <f>G5*2</f>
        <v>4</v>
      </c>
      <c r="I5" s="282">
        <f>G5*15</f>
        <v>30</v>
      </c>
      <c r="J5" s="282">
        <f>G5*0</f>
        <v>0</v>
      </c>
      <c r="K5" s="282">
        <f>H5*4+I5*4+J5*9</f>
        <v>136</v>
      </c>
    </row>
    <row r="6" spans="1:11">
      <c r="A6" s="554" t="s">
        <v>1</v>
      </c>
      <c r="B6" s="560" t="s">
        <v>563</v>
      </c>
      <c r="C6" s="332" t="s">
        <v>28</v>
      </c>
      <c r="D6" s="46">
        <v>30</v>
      </c>
      <c r="E6" s="7">
        <f t="shared" ref="E6:E25" si="1">D6*D$1/1000</f>
        <v>0</v>
      </c>
      <c r="F6" s="78" t="s">
        <v>88</v>
      </c>
      <c r="G6" s="294">
        <f>D6/20</f>
        <v>1.5</v>
      </c>
      <c r="H6" s="294">
        <f>G6*2</f>
        <v>3</v>
      </c>
      <c r="I6" s="333">
        <f>G6*15</f>
        <v>22.5</v>
      </c>
      <c r="J6" s="333">
        <f>G6*0</f>
        <v>0</v>
      </c>
      <c r="K6" s="294">
        <f>H6*4+I6*4+J6*9</f>
        <v>102</v>
      </c>
    </row>
    <row r="7" spans="1:11">
      <c r="A7" s="555"/>
      <c r="B7" s="562"/>
      <c r="C7" s="332" t="s">
        <v>354</v>
      </c>
      <c r="D7" s="46">
        <v>10</v>
      </c>
      <c r="E7" s="7">
        <f t="shared" si="1"/>
        <v>0</v>
      </c>
      <c r="F7" s="78" t="s">
        <v>88</v>
      </c>
      <c r="G7" s="294">
        <f>D7/20</f>
        <v>0.5</v>
      </c>
      <c r="H7" s="294">
        <f>G7*2</f>
        <v>1</v>
      </c>
      <c r="I7" s="333">
        <f>G7*15</f>
        <v>7.5</v>
      </c>
      <c r="J7" s="333">
        <f>G7*0</f>
        <v>0</v>
      </c>
      <c r="K7" s="294">
        <f>H7*4+I7*4+J7*9</f>
        <v>34</v>
      </c>
    </row>
    <row r="8" spans="1:11">
      <c r="A8" s="555"/>
      <c r="B8" s="560" t="s">
        <v>604</v>
      </c>
      <c r="C8" s="332" t="s">
        <v>551</v>
      </c>
      <c r="D8" s="46">
        <v>35</v>
      </c>
      <c r="E8" s="7">
        <f t="shared" si="1"/>
        <v>0</v>
      </c>
      <c r="F8" s="78" t="s">
        <v>112</v>
      </c>
      <c r="G8" s="282">
        <f>D8/35</f>
        <v>1</v>
      </c>
      <c r="H8" s="282">
        <f>G8*7</f>
        <v>7</v>
      </c>
      <c r="I8" s="282">
        <f>G8*0</f>
        <v>0</v>
      </c>
      <c r="J8" s="282">
        <f>G8*3</f>
        <v>3</v>
      </c>
      <c r="K8" s="282">
        <f t="shared" ref="K8:K15" si="2">H8*4+I8*4+J8*9</f>
        <v>55</v>
      </c>
    </row>
    <row r="9" spans="1:11">
      <c r="A9" s="555"/>
      <c r="B9" s="561"/>
      <c r="C9" s="332" t="s">
        <v>605</v>
      </c>
      <c r="D9" s="46"/>
      <c r="E9" s="7">
        <f t="shared" si="1"/>
        <v>0</v>
      </c>
      <c r="F9" s="221"/>
      <c r="G9" s="282"/>
      <c r="H9" s="282"/>
      <c r="I9" s="282">
        <v>5</v>
      </c>
      <c r="J9" s="282">
        <v>2</v>
      </c>
      <c r="K9" s="282">
        <f t="shared" si="2"/>
        <v>38</v>
      </c>
    </row>
    <row r="10" spans="1:11" s="182" customFormat="1">
      <c r="A10" s="555"/>
      <c r="B10" s="562"/>
      <c r="C10" s="332" t="s">
        <v>61</v>
      </c>
      <c r="D10" s="46">
        <v>3</v>
      </c>
      <c r="E10" s="7">
        <f t="shared" si="1"/>
        <v>0</v>
      </c>
      <c r="F10" s="186" t="s">
        <v>110</v>
      </c>
      <c r="G10" s="287">
        <f>D10/5</f>
        <v>0.6</v>
      </c>
      <c r="H10" s="287">
        <f>0</f>
        <v>0</v>
      </c>
      <c r="I10" s="287">
        <f>G10*0</f>
        <v>0</v>
      </c>
      <c r="J10" s="287">
        <f>G10*5</f>
        <v>3</v>
      </c>
      <c r="K10" s="282">
        <f>H10*4+I10*4+J10*9</f>
        <v>27</v>
      </c>
    </row>
    <row r="11" spans="1:11">
      <c r="A11" s="555"/>
      <c r="B11" s="560" t="s">
        <v>606</v>
      </c>
      <c r="C11" s="332" t="s">
        <v>607</v>
      </c>
      <c r="D11" s="46">
        <v>40</v>
      </c>
      <c r="E11" s="7">
        <f t="shared" si="1"/>
        <v>0</v>
      </c>
      <c r="F11" s="76" t="s">
        <v>81</v>
      </c>
      <c r="G11" s="283">
        <f>D11/100</f>
        <v>0.4</v>
      </c>
      <c r="H11" s="282">
        <f>1*G11</f>
        <v>0.4</v>
      </c>
      <c r="I11" s="282">
        <f>G11*5</f>
        <v>2</v>
      </c>
      <c r="J11" s="282">
        <f>0</f>
        <v>0</v>
      </c>
      <c r="K11" s="282">
        <f t="shared" si="2"/>
        <v>9.6</v>
      </c>
    </row>
    <row r="12" spans="1:11">
      <c r="A12" s="555"/>
      <c r="B12" s="561"/>
      <c r="C12" s="332" t="s">
        <v>224</v>
      </c>
      <c r="D12" s="46">
        <v>3</v>
      </c>
      <c r="E12" s="7">
        <f t="shared" si="1"/>
        <v>0</v>
      </c>
      <c r="F12" s="76" t="s">
        <v>81</v>
      </c>
      <c r="G12" s="283">
        <f>D12/100</f>
        <v>0.03</v>
      </c>
      <c r="H12" s="282">
        <f>1*G12</f>
        <v>0.03</v>
      </c>
      <c r="I12" s="282">
        <f>G12*5</f>
        <v>0.15</v>
      </c>
      <c r="J12" s="282">
        <f>0</f>
        <v>0</v>
      </c>
      <c r="K12" s="282">
        <f t="shared" si="2"/>
        <v>0.72</v>
      </c>
    </row>
    <row r="13" spans="1:11">
      <c r="A13" s="555"/>
      <c r="B13" s="561"/>
      <c r="C13" s="332" t="s">
        <v>608</v>
      </c>
      <c r="D13" s="46">
        <v>30</v>
      </c>
      <c r="E13" s="7">
        <f t="shared" si="1"/>
        <v>0</v>
      </c>
      <c r="F13" s="78" t="s">
        <v>112</v>
      </c>
      <c r="G13" s="282">
        <f>D13/160</f>
        <v>0.1875</v>
      </c>
      <c r="H13" s="282">
        <f>G13*7</f>
        <v>1.3125</v>
      </c>
      <c r="I13" s="282">
        <f>G13*0</f>
        <v>0</v>
      </c>
      <c r="J13" s="282">
        <f>G13*3</f>
        <v>0.5625</v>
      </c>
      <c r="K13" s="282">
        <f t="shared" ref="K13" si="3">H13*4+I13*4+J13*9</f>
        <v>10.3125</v>
      </c>
    </row>
    <row r="14" spans="1:11">
      <c r="A14" s="555"/>
      <c r="B14" s="562"/>
      <c r="C14" s="332" t="s">
        <v>61</v>
      </c>
      <c r="D14" s="46">
        <v>3</v>
      </c>
      <c r="E14" s="7">
        <f t="shared" si="1"/>
        <v>0</v>
      </c>
      <c r="F14" s="186" t="s">
        <v>110</v>
      </c>
      <c r="G14" s="287">
        <f>D14/5</f>
        <v>0.6</v>
      </c>
      <c r="H14" s="287">
        <f>0</f>
        <v>0</v>
      </c>
      <c r="I14" s="287">
        <f>G14*0</f>
        <v>0</v>
      </c>
      <c r="J14" s="287">
        <f>G14*5</f>
        <v>3</v>
      </c>
      <c r="K14" s="282">
        <f>H14*4+I14*4+J14*9</f>
        <v>27</v>
      </c>
    </row>
    <row r="15" spans="1:11">
      <c r="A15" s="555"/>
      <c r="B15" s="560" t="s">
        <v>609</v>
      </c>
      <c r="C15" s="332" t="s">
        <v>343</v>
      </c>
      <c r="D15" s="46">
        <v>40</v>
      </c>
      <c r="E15" s="7">
        <f t="shared" si="1"/>
        <v>0</v>
      </c>
      <c r="F15" s="76" t="s">
        <v>81</v>
      </c>
      <c r="G15" s="283">
        <f>D15/100</f>
        <v>0.4</v>
      </c>
      <c r="H15" s="282">
        <f>1*G15</f>
        <v>0.4</v>
      </c>
      <c r="I15" s="282">
        <f>G15*5</f>
        <v>2</v>
      </c>
      <c r="J15" s="282">
        <f>0</f>
        <v>0</v>
      </c>
      <c r="K15" s="282">
        <f t="shared" si="2"/>
        <v>9.6</v>
      </c>
    </row>
    <row r="16" spans="1:11">
      <c r="A16" s="555"/>
      <c r="B16" s="562"/>
      <c r="C16" s="332" t="s">
        <v>61</v>
      </c>
      <c r="D16" s="46">
        <v>2</v>
      </c>
      <c r="E16" s="7">
        <f t="shared" si="1"/>
        <v>0</v>
      </c>
      <c r="F16" s="186" t="s">
        <v>110</v>
      </c>
      <c r="G16" s="287">
        <f>D16/5</f>
        <v>0.4</v>
      </c>
      <c r="H16" s="287">
        <f>0</f>
        <v>0</v>
      </c>
      <c r="I16" s="287">
        <f>G16*0</f>
        <v>0</v>
      </c>
      <c r="J16" s="287">
        <f>G16*5</f>
        <v>2</v>
      </c>
      <c r="K16" s="282">
        <f>H16*4+I16*4+J16*9</f>
        <v>18</v>
      </c>
    </row>
    <row r="17" spans="1:11" ht="16.5" customHeight="1">
      <c r="A17" s="555"/>
      <c r="B17" s="554" t="s">
        <v>610</v>
      </c>
      <c r="C17" s="332" t="s">
        <v>614</v>
      </c>
      <c r="D17" s="46">
        <v>20</v>
      </c>
      <c r="E17" s="7">
        <f t="shared" si="1"/>
        <v>0</v>
      </c>
      <c r="F17" s="78" t="s">
        <v>112</v>
      </c>
      <c r="G17" s="287">
        <f>D17/40</f>
        <v>0.5</v>
      </c>
      <c r="H17" s="282">
        <f>G17*7</f>
        <v>3.5</v>
      </c>
      <c r="I17" s="282">
        <f>G17*0</f>
        <v>0</v>
      </c>
      <c r="J17" s="282">
        <f>G17*3</f>
        <v>1.5</v>
      </c>
      <c r="K17" s="282">
        <f t="shared" ref="K17" si="4">H17*4+I17*4+J17*9</f>
        <v>27.5</v>
      </c>
    </row>
    <row r="18" spans="1:11" ht="16.5" customHeight="1">
      <c r="A18" s="555"/>
      <c r="B18" s="555"/>
      <c r="C18" s="332" t="s">
        <v>611</v>
      </c>
      <c r="D18" s="46">
        <v>2</v>
      </c>
      <c r="E18" s="7">
        <f t="shared" si="1"/>
        <v>0</v>
      </c>
      <c r="F18" s="76" t="s">
        <v>81</v>
      </c>
      <c r="G18" s="283">
        <f>D18/100</f>
        <v>0.02</v>
      </c>
      <c r="H18" s="282">
        <f>1*G18</f>
        <v>0.02</v>
      </c>
      <c r="I18" s="282">
        <f>G18*5</f>
        <v>0.1</v>
      </c>
      <c r="J18" s="282">
        <f>0</f>
        <v>0</v>
      </c>
      <c r="K18" s="282">
        <f t="shared" ref="K18:K19" si="5">H18*4+I18*4+J18*9</f>
        <v>0.48000000000000004</v>
      </c>
    </row>
    <row r="19" spans="1:11" ht="16.5" customHeight="1">
      <c r="A19" s="555"/>
      <c r="B19" s="555"/>
      <c r="C19" s="332" t="s">
        <v>612</v>
      </c>
      <c r="D19" s="46">
        <v>0.5</v>
      </c>
      <c r="E19" s="7">
        <f t="shared" si="1"/>
        <v>0</v>
      </c>
      <c r="F19" s="76" t="s">
        <v>81</v>
      </c>
      <c r="G19" s="283">
        <f>D19/100</f>
        <v>5.0000000000000001E-3</v>
      </c>
      <c r="H19" s="282">
        <f>1*G19</f>
        <v>5.0000000000000001E-3</v>
      </c>
      <c r="I19" s="282">
        <f>G19*5</f>
        <v>2.5000000000000001E-2</v>
      </c>
      <c r="J19" s="282">
        <f>0</f>
        <v>0</v>
      </c>
      <c r="K19" s="282">
        <f t="shared" si="5"/>
        <v>0.12000000000000001</v>
      </c>
    </row>
    <row r="20" spans="1:11" ht="16.5" customHeight="1">
      <c r="A20" s="556"/>
      <c r="B20" s="556"/>
      <c r="C20" s="330" t="s">
        <v>32</v>
      </c>
      <c r="D20" s="6">
        <v>0.5</v>
      </c>
      <c r="E20" s="7">
        <f t="shared" si="1"/>
        <v>0</v>
      </c>
      <c r="F20" s="76" t="s">
        <v>81</v>
      </c>
      <c r="G20" s="283">
        <f>D20/100</f>
        <v>5.0000000000000001E-3</v>
      </c>
      <c r="H20" s="282">
        <f>1*G20</f>
        <v>5.0000000000000001E-3</v>
      </c>
      <c r="I20" s="282">
        <f>G20*5</f>
        <v>2.5000000000000001E-2</v>
      </c>
      <c r="J20" s="282">
        <f>0</f>
        <v>0</v>
      </c>
      <c r="K20" s="282">
        <f t="shared" ref="K20" si="6">H20*4+I20*4+J20*9</f>
        <v>0.12000000000000001</v>
      </c>
    </row>
    <row r="21" spans="1:11">
      <c r="A21" s="554" t="s">
        <v>2</v>
      </c>
      <c r="B21" s="540" t="s">
        <v>615</v>
      </c>
      <c r="C21" s="12" t="s">
        <v>129</v>
      </c>
      <c r="D21" s="58">
        <v>120</v>
      </c>
      <c r="E21" s="7">
        <f>D21*D$1/1000</f>
        <v>0</v>
      </c>
      <c r="F21" s="78" t="s">
        <v>75</v>
      </c>
      <c r="G21" s="282">
        <f>D21/240</f>
        <v>0.5</v>
      </c>
      <c r="H21" s="282">
        <f>G21*8</f>
        <v>4</v>
      </c>
      <c r="I21" s="282">
        <f>G21*12</f>
        <v>6</v>
      </c>
      <c r="J21" s="282">
        <f>G21*4</f>
        <v>2</v>
      </c>
      <c r="K21" s="282">
        <f>H21*4+I21*4+J21*9</f>
        <v>58</v>
      </c>
    </row>
    <row r="22" spans="1:11" s="182" customFormat="1">
      <c r="A22" s="555"/>
      <c r="B22" s="521"/>
      <c r="C22" s="216" t="s">
        <v>616</v>
      </c>
      <c r="D22" s="46">
        <v>10</v>
      </c>
      <c r="E22" s="7">
        <f t="shared" si="1"/>
        <v>0</v>
      </c>
      <c r="F22" s="78" t="s">
        <v>88</v>
      </c>
      <c r="G22" s="294">
        <f>D22/20</f>
        <v>0.5</v>
      </c>
      <c r="H22" s="294">
        <f>G22*2</f>
        <v>1</v>
      </c>
      <c r="I22" s="294">
        <f>G22*15</f>
        <v>7.5</v>
      </c>
      <c r="J22" s="333">
        <f>G22*0</f>
        <v>0</v>
      </c>
      <c r="K22" s="294">
        <f>H22*4+I22*4+J22*9</f>
        <v>34</v>
      </c>
    </row>
    <row r="23" spans="1:11" s="182" customFormat="1">
      <c r="A23" s="555"/>
      <c r="B23" s="521"/>
      <c r="C23" s="216" t="s">
        <v>504</v>
      </c>
      <c r="D23" s="46">
        <v>5</v>
      </c>
      <c r="E23" s="7">
        <f t="shared" si="1"/>
        <v>0</v>
      </c>
      <c r="F23" s="46"/>
      <c r="G23" s="294"/>
      <c r="H23" s="294"/>
      <c r="I23" s="294">
        <f>D23</f>
        <v>5</v>
      </c>
      <c r="J23" s="334"/>
      <c r="K23" s="294">
        <f>H23*4+I23*4+J23*9</f>
        <v>20</v>
      </c>
    </row>
    <row r="24" spans="1:11" s="182" customFormat="1">
      <c r="A24" s="555"/>
      <c r="B24" s="522"/>
      <c r="C24" s="216" t="s">
        <v>617</v>
      </c>
      <c r="D24" s="46">
        <v>5</v>
      </c>
      <c r="E24" s="7">
        <f t="shared" si="1"/>
        <v>0</v>
      </c>
      <c r="F24" s="46"/>
      <c r="G24" s="294"/>
      <c r="H24" s="294"/>
      <c r="I24" s="294"/>
      <c r="J24" s="335"/>
      <c r="K24" s="282">
        <f t="shared" ref="K24:K25" si="7">H24*4+I24*4+J24*9</f>
        <v>0</v>
      </c>
    </row>
    <row r="25" spans="1:11">
      <c r="A25" s="556"/>
      <c r="B25" s="2" t="s">
        <v>656</v>
      </c>
      <c r="C25" s="14" t="s">
        <v>657</v>
      </c>
      <c r="D25" s="190"/>
      <c r="E25" s="7">
        <f t="shared" si="1"/>
        <v>0</v>
      </c>
      <c r="F25" s="186" t="s">
        <v>8</v>
      </c>
      <c r="G25" s="282">
        <v>1</v>
      </c>
      <c r="H25" s="282">
        <f>G25*0</f>
        <v>0</v>
      </c>
      <c r="I25" s="282">
        <f>G25*15</f>
        <v>15</v>
      </c>
      <c r="J25" s="282">
        <f>G25*0</f>
        <v>0</v>
      </c>
      <c r="K25" s="282">
        <f t="shared" si="7"/>
        <v>60</v>
      </c>
    </row>
    <row r="26" spans="1:11" ht="21">
      <c r="A26" s="487" t="s">
        <v>499</v>
      </c>
      <c r="B26" s="487"/>
      <c r="C26" s="234"/>
      <c r="D26" s="235"/>
      <c r="E26" s="235"/>
      <c r="F26" s="236"/>
      <c r="G26" s="336"/>
      <c r="H26" s="337">
        <f>SUM(H3:H25)</f>
        <v>29.356710526315783</v>
      </c>
      <c r="I26" s="337">
        <f>SUM(I3:I25)</f>
        <v>107.80000000000001</v>
      </c>
      <c r="J26" s="337">
        <f>SUM(J3:J25)</f>
        <v>18.641447368421055</v>
      </c>
      <c r="K26" s="338">
        <f t="shared" ref="K26" si="8">H26*4+I26*4+J26*9</f>
        <v>716.3998684210527</v>
      </c>
    </row>
    <row r="27" spans="1:11" ht="21">
      <c r="A27" s="461" t="s">
        <v>537</v>
      </c>
      <c r="B27" s="462"/>
      <c r="C27" s="261"/>
      <c r="D27" s="261"/>
      <c r="E27" s="261"/>
      <c r="F27" s="262"/>
      <c r="G27" s="339"/>
      <c r="H27" s="340">
        <f>+H26*4/K26</f>
        <v>0.16391242835383571</v>
      </c>
      <c r="I27" s="340">
        <f>+I26*4/K26</f>
        <v>0.60189849134166651</v>
      </c>
      <c r="J27" s="340">
        <f>+J26*9/K26</f>
        <v>0.23418908030449767</v>
      </c>
      <c r="K27" s="340">
        <f>+H27+I27+J27</f>
        <v>0.99999999999999989</v>
      </c>
    </row>
  </sheetData>
  <mergeCells count="14">
    <mergeCell ref="A26:B26"/>
    <mergeCell ref="A27:B27"/>
    <mergeCell ref="B6:B7"/>
    <mergeCell ref="B11:B14"/>
    <mergeCell ref="B15:B16"/>
    <mergeCell ref="B21:B24"/>
    <mergeCell ref="A21:A25"/>
    <mergeCell ref="F1:K1"/>
    <mergeCell ref="A1:B1"/>
    <mergeCell ref="A6:A20"/>
    <mergeCell ref="B17:B20"/>
    <mergeCell ref="B3:B4"/>
    <mergeCell ref="A3:A5"/>
    <mergeCell ref="B8:B10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4" zoomScale="70" zoomScaleNormal="70" workbookViewId="0">
      <selection activeCell="N26" sqref="N26"/>
    </sheetView>
  </sheetViews>
  <sheetFormatPr defaultRowHeight="16.5"/>
  <cols>
    <col min="1" max="1" width="5.5" customWidth="1"/>
    <col min="2" max="2" width="11.5" style="93" customWidth="1"/>
    <col min="3" max="3" width="12.25" customWidth="1"/>
    <col min="4" max="4" width="6.375" customWidth="1"/>
    <col min="5" max="5" width="8.75" customWidth="1"/>
    <col min="6" max="6" width="5.5" style="80" customWidth="1"/>
    <col min="7" max="7" width="6.625" style="80" customWidth="1"/>
    <col min="8" max="8" width="10" style="80" customWidth="1"/>
    <col min="9" max="9" width="9" style="80"/>
    <col min="10" max="10" width="7.75" style="80" customWidth="1"/>
    <col min="11" max="11" width="8.375" style="80" customWidth="1"/>
  </cols>
  <sheetData>
    <row r="1" spans="1:11" ht="39.950000000000003" customHeight="1">
      <c r="A1" s="544" t="s">
        <v>186</v>
      </c>
      <c r="B1" s="544"/>
      <c r="C1" s="167" t="s">
        <v>187</v>
      </c>
      <c r="D1" s="112"/>
      <c r="E1" s="168" t="s">
        <v>188</v>
      </c>
      <c r="F1" s="504" t="s">
        <v>150</v>
      </c>
      <c r="G1" s="504"/>
      <c r="H1" s="504"/>
      <c r="I1" s="504"/>
      <c r="J1" s="504"/>
      <c r="K1" s="504"/>
    </row>
    <row r="2" spans="1:11" ht="19.5">
      <c r="A2" s="70" t="s">
        <v>16</v>
      </c>
      <c r="B2" s="92" t="s">
        <v>17</v>
      </c>
      <c r="C2" s="72" t="s">
        <v>18</v>
      </c>
      <c r="D2" s="73" t="s">
        <v>20</v>
      </c>
      <c r="E2" s="71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 s="182" customFormat="1">
      <c r="A3" s="438" t="s">
        <v>0</v>
      </c>
      <c r="B3" s="564" t="s">
        <v>625</v>
      </c>
      <c r="C3" s="216" t="s">
        <v>618</v>
      </c>
      <c r="D3" s="46">
        <v>30</v>
      </c>
      <c r="E3" s="7">
        <f>D3*D$1/1000</f>
        <v>0</v>
      </c>
      <c r="F3" s="78" t="s">
        <v>88</v>
      </c>
      <c r="G3" s="251">
        <f>D3/30</f>
        <v>1</v>
      </c>
      <c r="H3" s="221">
        <v>2</v>
      </c>
      <c r="I3" s="221">
        <v>15</v>
      </c>
      <c r="J3" s="221">
        <v>0</v>
      </c>
      <c r="K3" s="221">
        <f>H3*4+I3*4+J3*9</f>
        <v>68</v>
      </c>
    </row>
    <row r="4" spans="1:11" s="182" customFormat="1" ht="19.5" customHeight="1">
      <c r="A4" s="439"/>
      <c r="B4" s="550"/>
      <c r="C4" s="216" t="s">
        <v>323</v>
      </c>
      <c r="D4" s="46">
        <v>15</v>
      </c>
      <c r="E4" s="7">
        <f t="shared" ref="E4:E25" si="0">D4*D$1/1000</f>
        <v>0</v>
      </c>
      <c r="F4" s="76" t="s">
        <v>112</v>
      </c>
      <c r="G4" s="225">
        <f>D4/35</f>
        <v>0.42857142857142855</v>
      </c>
      <c r="H4" s="221">
        <f>G4*7</f>
        <v>3</v>
      </c>
      <c r="I4" s="221">
        <f>G4*0</f>
        <v>0</v>
      </c>
      <c r="J4" s="221">
        <f>G4*5</f>
        <v>2.1428571428571428</v>
      </c>
      <c r="K4" s="221">
        <f>H4*4+I4*4+J4*9</f>
        <v>31.285714285714285</v>
      </c>
    </row>
    <row r="5" spans="1:11" s="182" customFormat="1" ht="19.5" customHeight="1">
      <c r="A5" s="439"/>
      <c r="B5" s="550"/>
      <c r="C5" s="216" t="s">
        <v>79</v>
      </c>
      <c r="D5" s="46">
        <v>20</v>
      </c>
      <c r="E5" s="7">
        <f t="shared" si="0"/>
        <v>0</v>
      </c>
      <c r="F5" s="186" t="s">
        <v>81</v>
      </c>
      <c r="G5" s="225">
        <f>D5/100</f>
        <v>0.2</v>
      </c>
      <c r="H5" s="221">
        <f>1*G5</f>
        <v>0.2</v>
      </c>
      <c r="I5" s="221">
        <f>G5*5</f>
        <v>1</v>
      </c>
      <c r="J5" s="221">
        <f>0</f>
        <v>0</v>
      </c>
      <c r="K5" s="221">
        <f t="shared" ref="K5:K7" si="1">H5*4+I5*4+J5*9</f>
        <v>4.8</v>
      </c>
    </row>
    <row r="6" spans="1:11" s="182" customFormat="1" ht="19.5" customHeight="1">
      <c r="A6" s="439"/>
      <c r="B6" s="550"/>
      <c r="C6" s="216" t="s">
        <v>224</v>
      </c>
      <c r="D6" s="46">
        <v>1</v>
      </c>
      <c r="E6" s="7">
        <f t="shared" si="0"/>
        <v>0</v>
      </c>
      <c r="F6" s="186" t="s">
        <v>81</v>
      </c>
      <c r="G6" s="225">
        <f>D6/100</f>
        <v>0.01</v>
      </c>
      <c r="H6" s="221">
        <f>1*G6</f>
        <v>0.01</v>
      </c>
      <c r="I6" s="221">
        <f>G6*5</f>
        <v>0.05</v>
      </c>
      <c r="J6" s="221">
        <f>0</f>
        <v>0</v>
      </c>
      <c r="K6" s="221">
        <f t="shared" si="1"/>
        <v>0.24000000000000002</v>
      </c>
    </row>
    <row r="7" spans="1:11" s="182" customFormat="1" ht="19.5" customHeight="1">
      <c r="A7" s="439"/>
      <c r="B7" s="550"/>
      <c r="C7" s="227" t="s">
        <v>105</v>
      </c>
      <c r="D7" s="46">
        <v>0.5</v>
      </c>
      <c r="E7" s="7">
        <f t="shared" si="0"/>
        <v>0</v>
      </c>
      <c r="F7" s="186" t="s">
        <v>81</v>
      </c>
      <c r="G7" s="225">
        <f>D7/100</f>
        <v>5.0000000000000001E-3</v>
      </c>
      <c r="H7" s="221">
        <f>1*G7</f>
        <v>5.0000000000000001E-3</v>
      </c>
      <c r="I7" s="221">
        <f>G7*5</f>
        <v>2.5000000000000001E-2</v>
      </c>
      <c r="J7" s="221">
        <f>0</f>
        <v>0</v>
      </c>
      <c r="K7" s="221">
        <f t="shared" si="1"/>
        <v>0.12000000000000001</v>
      </c>
    </row>
    <row r="8" spans="1:11">
      <c r="A8" s="439"/>
      <c r="B8" s="551"/>
      <c r="C8" s="216" t="s">
        <v>619</v>
      </c>
      <c r="D8" s="46">
        <v>2</v>
      </c>
      <c r="E8" s="7">
        <f t="shared" si="0"/>
        <v>0</v>
      </c>
      <c r="F8" s="78" t="s">
        <v>110</v>
      </c>
      <c r="G8" s="229">
        <f>D8/5</f>
        <v>0.4</v>
      </c>
      <c r="H8" s="229">
        <f>0</f>
        <v>0</v>
      </c>
      <c r="I8" s="229">
        <f>G8*0</f>
        <v>0</v>
      </c>
      <c r="J8" s="229">
        <f>G8*5</f>
        <v>2</v>
      </c>
      <c r="K8" s="221">
        <f>H8*4+I8*4+J8*9</f>
        <v>18</v>
      </c>
    </row>
    <row r="9" spans="1:11">
      <c r="A9" s="440" t="s">
        <v>1</v>
      </c>
      <c r="B9" s="35" t="s">
        <v>299</v>
      </c>
      <c r="C9" s="14" t="s">
        <v>28</v>
      </c>
      <c r="D9" s="47">
        <v>40</v>
      </c>
      <c r="E9" s="7">
        <f t="shared" si="0"/>
        <v>0</v>
      </c>
      <c r="F9" s="75" t="s">
        <v>88</v>
      </c>
      <c r="G9" s="246">
        <v>2</v>
      </c>
      <c r="H9" s="246">
        <f>G9*2</f>
        <v>4</v>
      </c>
      <c r="I9" s="246">
        <f>G9*15</f>
        <v>30</v>
      </c>
      <c r="J9" s="246">
        <v>0</v>
      </c>
      <c r="K9" s="246">
        <f>H9*4+I9*4+J9*9</f>
        <v>136</v>
      </c>
    </row>
    <row r="10" spans="1:11">
      <c r="A10" s="434"/>
      <c r="B10" s="458" t="s">
        <v>180</v>
      </c>
      <c r="C10" s="13" t="s">
        <v>312</v>
      </c>
      <c r="D10" s="31">
        <v>35</v>
      </c>
      <c r="E10" s="7">
        <f t="shared" si="0"/>
        <v>0</v>
      </c>
      <c r="F10" s="76" t="s">
        <v>112</v>
      </c>
      <c r="G10" s="225">
        <f>D10/35</f>
        <v>1</v>
      </c>
      <c r="H10" s="221">
        <f>G10*7</f>
        <v>7</v>
      </c>
      <c r="I10" s="221">
        <f>G10*0</f>
        <v>0</v>
      </c>
      <c r="J10" s="221">
        <f>G10*3</f>
        <v>3</v>
      </c>
      <c r="K10" s="221">
        <f>H10*4+I10*4+J10*9</f>
        <v>55</v>
      </c>
    </row>
    <row r="11" spans="1:11">
      <c r="A11" s="434"/>
      <c r="B11" s="459"/>
      <c r="C11" s="14" t="s">
        <v>61</v>
      </c>
      <c r="D11" s="31">
        <v>3</v>
      </c>
      <c r="E11" s="7">
        <f t="shared" si="0"/>
        <v>0</v>
      </c>
      <c r="F11" s="78" t="s">
        <v>110</v>
      </c>
      <c r="G11" s="229">
        <f>D11/5</f>
        <v>0.6</v>
      </c>
      <c r="H11" s="229">
        <f>0</f>
        <v>0</v>
      </c>
      <c r="I11" s="229">
        <f>G11*0</f>
        <v>0</v>
      </c>
      <c r="J11" s="229">
        <f>G11*5</f>
        <v>3</v>
      </c>
      <c r="K11" s="221">
        <f>H11*4+I11*4+J11*9</f>
        <v>27</v>
      </c>
    </row>
    <row r="12" spans="1:11">
      <c r="A12" s="434"/>
      <c r="B12" s="500" t="s">
        <v>314</v>
      </c>
      <c r="C12" s="14" t="s">
        <v>315</v>
      </c>
      <c r="D12" s="31">
        <v>30</v>
      </c>
      <c r="E12" s="7">
        <f t="shared" si="0"/>
        <v>0</v>
      </c>
      <c r="F12" s="75" t="s">
        <v>81</v>
      </c>
      <c r="G12" s="225">
        <f>D12/100</f>
        <v>0.3</v>
      </c>
      <c r="H12" s="221">
        <f>1*G12</f>
        <v>0.3</v>
      </c>
      <c r="I12" s="221">
        <f>G12*5</f>
        <v>1.5</v>
      </c>
      <c r="J12" s="221">
        <f>0</f>
        <v>0</v>
      </c>
      <c r="K12" s="221">
        <f t="shared" ref="K12:K29" si="2">H12*4+I12*4+J12*9</f>
        <v>7.2</v>
      </c>
    </row>
    <row r="13" spans="1:11">
      <c r="A13" s="434"/>
      <c r="B13" s="500"/>
      <c r="C13" s="14" t="s">
        <v>316</v>
      </c>
      <c r="D13" s="31">
        <v>15</v>
      </c>
      <c r="E13" s="7">
        <f t="shared" si="0"/>
        <v>0</v>
      </c>
      <c r="F13" s="75" t="s">
        <v>112</v>
      </c>
      <c r="G13" s="221">
        <f>D13/35</f>
        <v>0.42857142857142855</v>
      </c>
      <c r="H13" s="221">
        <f>G13*7</f>
        <v>3</v>
      </c>
      <c r="I13" s="221">
        <f>G13*0</f>
        <v>0</v>
      </c>
      <c r="J13" s="221">
        <f>G13*5</f>
        <v>2.1428571428571428</v>
      </c>
      <c r="K13" s="221">
        <f>H13*4+I13*4+J13*9</f>
        <v>31.285714285714285</v>
      </c>
    </row>
    <row r="14" spans="1:11">
      <c r="A14" s="434"/>
      <c r="B14" s="500"/>
      <c r="C14" s="14" t="s">
        <v>61</v>
      </c>
      <c r="D14" s="31">
        <v>2</v>
      </c>
      <c r="E14" s="7">
        <f t="shared" si="0"/>
        <v>0</v>
      </c>
      <c r="F14" s="75" t="s">
        <v>110</v>
      </c>
      <c r="G14" s="229">
        <f>D14/5</f>
        <v>0.4</v>
      </c>
      <c r="H14" s="229">
        <f>0</f>
        <v>0</v>
      </c>
      <c r="I14" s="229">
        <f>G14*0</f>
        <v>0</v>
      </c>
      <c r="J14" s="229">
        <f>G14*5</f>
        <v>2</v>
      </c>
      <c r="K14" s="221">
        <f t="shared" si="2"/>
        <v>18</v>
      </c>
    </row>
    <row r="15" spans="1:11">
      <c r="A15" s="434"/>
      <c r="B15" s="500" t="s">
        <v>676</v>
      </c>
      <c r="C15" s="14" t="s">
        <v>379</v>
      </c>
      <c r="D15" s="31">
        <v>40</v>
      </c>
      <c r="E15" s="7">
        <f t="shared" si="0"/>
        <v>0</v>
      </c>
      <c r="F15" s="75" t="s">
        <v>81</v>
      </c>
      <c r="G15" s="221">
        <f>D15/100</f>
        <v>0.4</v>
      </c>
      <c r="H15" s="221">
        <f>1*G15</f>
        <v>0.4</v>
      </c>
      <c r="I15" s="221">
        <f>G15*5</f>
        <v>2</v>
      </c>
      <c r="J15" s="221">
        <f>0</f>
        <v>0</v>
      </c>
      <c r="K15" s="221">
        <f t="shared" si="2"/>
        <v>9.6</v>
      </c>
    </row>
    <row r="16" spans="1:11">
      <c r="A16" s="434"/>
      <c r="B16" s="500"/>
      <c r="C16" s="14" t="s">
        <v>61</v>
      </c>
      <c r="D16" s="31">
        <v>2</v>
      </c>
      <c r="E16" s="7">
        <f t="shared" si="0"/>
        <v>0</v>
      </c>
      <c r="F16" s="75" t="s">
        <v>110</v>
      </c>
      <c r="G16" s="229">
        <f>D16/5</f>
        <v>0.4</v>
      </c>
      <c r="H16" s="229">
        <f>0</f>
        <v>0</v>
      </c>
      <c r="I16" s="229">
        <f>G16*0</f>
        <v>0</v>
      </c>
      <c r="J16" s="229">
        <f>G16*5</f>
        <v>2</v>
      </c>
      <c r="K16" s="221">
        <f t="shared" si="2"/>
        <v>18</v>
      </c>
    </row>
    <row r="17" spans="1:11">
      <c r="A17" s="434"/>
      <c r="B17" s="500" t="s">
        <v>181</v>
      </c>
      <c r="C17" s="74" t="s">
        <v>199</v>
      </c>
      <c r="D17" s="2">
        <v>30</v>
      </c>
      <c r="E17" s="7">
        <f t="shared" si="0"/>
        <v>0</v>
      </c>
      <c r="F17" s="75" t="s">
        <v>81</v>
      </c>
      <c r="G17" s="221">
        <f>D17/100</f>
        <v>0.3</v>
      </c>
      <c r="H17" s="221">
        <f>1*G17</f>
        <v>0.3</v>
      </c>
      <c r="I17" s="221">
        <f>G17*5</f>
        <v>1.5</v>
      </c>
      <c r="J17" s="221">
        <f>0</f>
        <v>0</v>
      </c>
      <c r="K17" s="221">
        <f t="shared" si="2"/>
        <v>7.2</v>
      </c>
    </row>
    <row r="18" spans="1:11">
      <c r="A18" s="434"/>
      <c r="B18" s="500"/>
      <c r="C18" s="14" t="s">
        <v>42</v>
      </c>
      <c r="D18" s="31">
        <v>1</v>
      </c>
      <c r="E18" s="7">
        <f t="shared" si="0"/>
        <v>0</v>
      </c>
      <c r="F18" s="77" t="s">
        <v>24</v>
      </c>
      <c r="G18" s="221"/>
      <c r="H18" s="221"/>
      <c r="I18" s="221"/>
      <c r="J18" s="221"/>
      <c r="K18" s="221"/>
    </row>
    <row r="19" spans="1:11">
      <c r="A19" s="434"/>
      <c r="B19" s="500"/>
      <c r="C19" s="14" t="s">
        <v>317</v>
      </c>
      <c r="D19" s="31">
        <v>1</v>
      </c>
      <c r="E19" s="7">
        <f t="shared" si="0"/>
        <v>0</v>
      </c>
      <c r="F19" s="77" t="s">
        <v>24</v>
      </c>
      <c r="G19" s="221"/>
      <c r="H19" s="221"/>
      <c r="I19" s="221"/>
      <c r="J19" s="221"/>
      <c r="K19" s="221"/>
    </row>
    <row r="20" spans="1:11">
      <c r="A20" s="434"/>
      <c r="B20" s="500"/>
      <c r="C20" s="14" t="s">
        <v>59</v>
      </c>
      <c r="D20" s="31">
        <v>1</v>
      </c>
      <c r="E20" s="7">
        <f t="shared" si="0"/>
        <v>0</v>
      </c>
      <c r="F20" s="77" t="s">
        <v>24</v>
      </c>
      <c r="G20" s="221"/>
      <c r="H20" s="221"/>
      <c r="I20" s="221"/>
      <c r="J20" s="221"/>
      <c r="K20" s="221"/>
    </row>
    <row r="21" spans="1:11">
      <c r="A21" s="440" t="s">
        <v>2</v>
      </c>
      <c r="B21" s="565" t="s">
        <v>620</v>
      </c>
      <c r="C21" s="216" t="s">
        <v>621</v>
      </c>
      <c r="D21" s="46">
        <v>35</v>
      </c>
      <c r="E21" s="7">
        <f t="shared" si="0"/>
        <v>0</v>
      </c>
      <c r="F21" s="186" t="s">
        <v>88</v>
      </c>
      <c r="G21" s="221">
        <f>D21/30</f>
        <v>1.1666666666666667</v>
      </c>
      <c r="H21" s="221">
        <f>G21*2</f>
        <v>2.3333333333333335</v>
      </c>
      <c r="I21" s="221">
        <f>G21*15</f>
        <v>17.5</v>
      </c>
      <c r="J21" s="221">
        <v>0</v>
      </c>
      <c r="K21" s="221">
        <f>H21*4+I21*4+J21*9</f>
        <v>79.333333333333329</v>
      </c>
    </row>
    <row r="22" spans="1:11" s="182" customFormat="1">
      <c r="A22" s="434"/>
      <c r="B22" s="565"/>
      <c r="C22" s="216" t="s">
        <v>622</v>
      </c>
      <c r="D22" s="46">
        <v>10</v>
      </c>
      <c r="E22" s="7">
        <f t="shared" si="0"/>
        <v>0</v>
      </c>
      <c r="F22" s="76" t="s">
        <v>112</v>
      </c>
      <c r="G22" s="225">
        <f>D22/35</f>
        <v>0.2857142857142857</v>
      </c>
      <c r="H22" s="221">
        <f>G22*7</f>
        <v>2</v>
      </c>
      <c r="I22" s="221">
        <f>G22*0</f>
        <v>0</v>
      </c>
      <c r="J22" s="221">
        <f>G22*3</f>
        <v>0.8571428571428571</v>
      </c>
      <c r="K22" s="221">
        <f>H22*4+I22*4+J22*9</f>
        <v>15.714285714285714</v>
      </c>
    </row>
    <row r="23" spans="1:11">
      <c r="A23" s="434"/>
      <c r="B23" s="565"/>
      <c r="C23" s="216" t="s">
        <v>213</v>
      </c>
      <c r="D23" s="46">
        <v>10</v>
      </c>
      <c r="E23" s="7">
        <f t="shared" si="0"/>
        <v>0</v>
      </c>
      <c r="F23" s="186" t="s">
        <v>81</v>
      </c>
      <c r="G23" s="221">
        <f>D23/100</f>
        <v>0.1</v>
      </c>
      <c r="H23" s="221">
        <f>1*G23</f>
        <v>0.1</v>
      </c>
      <c r="I23" s="221">
        <f>G23*5</f>
        <v>0.5</v>
      </c>
      <c r="J23" s="221">
        <f>0</f>
        <v>0</v>
      </c>
      <c r="K23" s="221">
        <f t="shared" ref="K23:K24" si="3">H23*4+I23*4+J23*9</f>
        <v>2.4</v>
      </c>
    </row>
    <row r="24" spans="1:11" s="182" customFormat="1">
      <c r="A24" s="434"/>
      <c r="B24" s="565"/>
      <c r="C24" s="216" t="s">
        <v>61</v>
      </c>
      <c r="D24" s="46">
        <v>3</v>
      </c>
      <c r="E24" s="7">
        <f t="shared" si="0"/>
        <v>0</v>
      </c>
      <c r="F24" s="186" t="s">
        <v>110</v>
      </c>
      <c r="G24" s="229">
        <f>D24/5</f>
        <v>0.6</v>
      </c>
      <c r="H24" s="229">
        <f>0</f>
        <v>0</v>
      </c>
      <c r="I24" s="229">
        <f>G24*0</f>
        <v>0</v>
      </c>
      <c r="J24" s="229">
        <f>G24*5</f>
        <v>3</v>
      </c>
      <c r="K24" s="221">
        <f t="shared" si="3"/>
        <v>27</v>
      </c>
    </row>
    <row r="25" spans="1:11" s="182" customFormat="1">
      <c r="A25" s="434"/>
      <c r="B25" s="566" t="s">
        <v>623</v>
      </c>
      <c r="C25" s="216" t="s">
        <v>624</v>
      </c>
      <c r="D25" s="46"/>
      <c r="E25" s="7">
        <f t="shared" si="0"/>
        <v>0</v>
      </c>
      <c r="F25" s="46"/>
      <c r="G25" s="217"/>
      <c r="H25" s="217"/>
      <c r="I25" s="217"/>
      <c r="J25" s="217"/>
      <c r="K25" s="217"/>
    </row>
    <row r="26" spans="1:11" s="182" customFormat="1">
      <c r="A26" s="434"/>
      <c r="B26" s="565"/>
      <c r="C26" s="12" t="s">
        <v>129</v>
      </c>
      <c r="D26" s="58">
        <v>120</v>
      </c>
      <c r="E26" s="7">
        <f>D26*D$1/1000</f>
        <v>0</v>
      </c>
      <c r="F26" s="78" t="s">
        <v>75</v>
      </c>
      <c r="G26" s="282">
        <f>D26/240</f>
        <v>0.5</v>
      </c>
      <c r="H26" s="282">
        <f>G26*8</f>
        <v>4</v>
      </c>
      <c r="I26" s="282">
        <f>G26*12</f>
        <v>6</v>
      </c>
      <c r="J26" s="282">
        <f>G26*4</f>
        <v>2</v>
      </c>
      <c r="K26" s="282">
        <f>H26*4+I26*4+J26*9</f>
        <v>58</v>
      </c>
    </row>
    <row r="27" spans="1:11">
      <c r="A27" s="434"/>
      <c r="B27" s="565"/>
      <c r="C27" s="216" t="s">
        <v>504</v>
      </c>
      <c r="D27" s="46">
        <v>5</v>
      </c>
      <c r="E27" s="7">
        <f t="shared" ref="E27:E28" si="4">D27*D$1/1000</f>
        <v>0</v>
      </c>
      <c r="F27" s="46"/>
      <c r="G27" s="294"/>
      <c r="H27" s="294"/>
      <c r="I27" s="294">
        <f>D27</f>
        <v>5</v>
      </c>
      <c r="J27" s="341"/>
      <c r="K27" s="294">
        <f>H27*4+I27*4+J27*9</f>
        <v>20</v>
      </c>
    </row>
    <row r="28" spans="1:11" s="342" customFormat="1">
      <c r="A28" s="435"/>
      <c r="B28" s="2" t="s">
        <v>645</v>
      </c>
      <c r="C28" s="14" t="s">
        <v>646</v>
      </c>
      <c r="D28" s="347"/>
      <c r="E28" s="7">
        <f t="shared" si="4"/>
        <v>0</v>
      </c>
      <c r="F28" s="346" t="s">
        <v>8</v>
      </c>
      <c r="G28" s="282">
        <v>1</v>
      </c>
      <c r="H28" s="282">
        <f>G28*0</f>
        <v>0</v>
      </c>
      <c r="I28" s="282">
        <f>G28*15</f>
        <v>15</v>
      </c>
      <c r="J28" s="282">
        <f>G28*0</f>
        <v>0</v>
      </c>
      <c r="K28" s="282">
        <f t="shared" ref="K28" si="5">H28*4+I28*4+J28*9</f>
        <v>60</v>
      </c>
    </row>
    <row r="29" spans="1:11" ht="21">
      <c r="A29" s="487" t="s">
        <v>499</v>
      </c>
      <c r="B29" s="563"/>
      <c r="C29" s="234"/>
      <c r="D29" s="235"/>
      <c r="E29" s="235"/>
      <c r="F29" s="236"/>
      <c r="G29" s="336"/>
      <c r="H29" s="237">
        <f>SUM(H3:H27)</f>
        <v>28.648333333333333</v>
      </c>
      <c r="I29" s="237">
        <f>SUM(I3:I28)</f>
        <v>95.075000000000003</v>
      </c>
      <c r="J29" s="237">
        <f>SUM(J3:J27)</f>
        <v>22.142857142857142</v>
      </c>
      <c r="K29" s="329">
        <f t="shared" si="2"/>
        <v>694.17904761904765</v>
      </c>
    </row>
    <row r="30" spans="1:11" ht="21">
      <c r="A30" s="461" t="s">
        <v>537</v>
      </c>
      <c r="B30" s="462"/>
      <c r="C30" s="261"/>
      <c r="D30" s="261"/>
      <c r="E30" s="261"/>
      <c r="F30" s="262"/>
      <c r="G30" s="339"/>
      <c r="H30" s="340">
        <f>+H29*4/K29</f>
        <v>0.16507748789937549</v>
      </c>
      <c r="I30" s="340">
        <f>+I29*4/K29</f>
        <v>0.54784136931874305</v>
      </c>
      <c r="J30" s="340">
        <f>+J29*9/K29</f>
        <v>0.2870811427818814</v>
      </c>
      <c r="K30" s="340">
        <f>+H30+I30+J30</f>
        <v>1</v>
      </c>
    </row>
  </sheetData>
  <mergeCells count="14">
    <mergeCell ref="A29:B29"/>
    <mergeCell ref="A30:B30"/>
    <mergeCell ref="B3:B8"/>
    <mergeCell ref="A3:A8"/>
    <mergeCell ref="B21:B24"/>
    <mergeCell ref="B25:B27"/>
    <mergeCell ref="A21:A28"/>
    <mergeCell ref="A1:B1"/>
    <mergeCell ref="F1:K1"/>
    <mergeCell ref="B17:B20"/>
    <mergeCell ref="A9:A20"/>
    <mergeCell ref="B10:B11"/>
    <mergeCell ref="B12:B14"/>
    <mergeCell ref="B15:B16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" zoomScale="70" zoomScaleNormal="70" workbookViewId="0">
      <selection activeCell="B15" sqref="B15:B17"/>
    </sheetView>
  </sheetViews>
  <sheetFormatPr defaultRowHeight="16.5"/>
  <cols>
    <col min="1" max="1" width="5.5" customWidth="1"/>
    <col min="2" max="2" width="13.25" style="1" customWidth="1"/>
    <col min="3" max="3" width="12.25" customWidth="1"/>
    <col min="4" max="4" width="6.375" customWidth="1"/>
    <col min="5" max="5" width="10" customWidth="1"/>
    <col min="6" max="6" width="5.5" style="80" customWidth="1"/>
    <col min="7" max="7" width="8.625" style="80" customWidth="1"/>
    <col min="8" max="8" width="9.875" style="80" customWidth="1"/>
    <col min="9" max="9" width="12.375" style="80" bestFit="1" customWidth="1"/>
    <col min="10" max="10" width="8.125" style="80" customWidth="1"/>
    <col min="11" max="11" width="8.375" style="80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45" t="s">
        <v>327</v>
      </c>
      <c r="B2" s="120" t="s">
        <v>17</v>
      </c>
      <c r="C2" s="24" t="s">
        <v>18</v>
      </c>
      <c r="D2" s="46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 ht="16.5" customHeight="1">
      <c r="A3" s="438" t="s">
        <v>0</v>
      </c>
      <c r="B3" s="148" t="s">
        <v>476</v>
      </c>
      <c r="C3" s="12" t="s">
        <v>136</v>
      </c>
      <c r="D3" s="9">
        <v>70</v>
      </c>
      <c r="E3" s="7">
        <f>D3*D1/1000</f>
        <v>0</v>
      </c>
      <c r="F3" s="76" t="s">
        <v>88</v>
      </c>
      <c r="G3" s="76">
        <v>1</v>
      </c>
      <c r="H3" s="75">
        <v>2</v>
      </c>
      <c r="I3" s="75">
        <v>15</v>
      </c>
      <c r="J3" s="75"/>
      <c r="K3" s="75">
        <f>H3*4+I3*4+J3*9</f>
        <v>68</v>
      </c>
    </row>
    <row r="4" spans="1:11">
      <c r="A4" s="455"/>
      <c r="B4" s="94" t="s">
        <v>477</v>
      </c>
      <c r="C4" s="13" t="s">
        <v>287</v>
      </c>
      <c r="D4" s="9">
        <v>25</v>
      </c>
      <c r="E4" s="7">
        <f>D4*D1/1000</f>
        <v>0</v>
      </c>
      <c r="F4" s="76" t="s">
        <v>75</v>
      </c>
      <c r="G4" s="76">
        <v>1</v>
      </c>
      <c r="H4" s="75">
        <v>8</v>
      </c>
      <c r="I4" s="75">
        <v>12</v>
      </c>
      <c r="J4" s="75">
        <v>4</v>
      </c>
      <c r="K4" s="75">
        <f>H4*4+I4*4+J4*9</f>
        <v>116</v>
      </c>
    </row>
    <row r="5" spans="1:11">
      <c r="A5" s="440" t="s">
        <v>1</v>
      </c>
      <c r="B5" s="452" t="s">
        <v>395</v>
      </c>
      <c r="C5" s="13" t="s">
        <v>193</v>
      </c>
      <c r="D5" s="47">
        <v>10</v>
      </c>
      <c r="E5" s="7">
        <f>D5*D1/1000</f>
        <v>0</v>
      </c>
      <c r="F5" s="75" t="s">
        <v>88</v>
      </c>
      <c r="G5" s="454">
        <v>2</v>
      </c>
      <c r="H5" s="454">
        <f>G5*2</f>
        <v>4</v>
      </c>
      <c r="I5" s="454">
        <f>G5*15</f>
        <v>30</v>
      </c>
      <c r="J5" s="454"/>
      <c r="K5" s="454">
        <v>140</v>
      </c>
    </row>
    <row r="6" spans="1:11">
      <c r="A6" s="434"/>
      <c r="B6" s="453"/>
      <c r="C6" s="14" t="s">
        <v>28</v>
      </c>
      <c r="D6" s="47">
        <v>38</v>
      </c>
      <c r="E6" s="7">
        <f>D6*D1/1000</f>
        <v>0</v>
      </c>
      <c r="F6" s="75" t="s">
        <v>88</v>
      </c>
      <c r="G6" s="454"/>
      <c r="H6" s="454"/>
      <c r="I6" s="454"/>
      <c r="J6" s="454"/>
      <c r="K6" s="454"/>
    </row>
    <row r="7" spans="1:11">
      <c r="A7" s="434"/>
      <c r="B7" s="452" t="s">
        <v>156</v>
      </c>
      <c r="C7" s="13" t="s">
        <v>127</v>
      </c>
      <c r="D7" s="9">
        <v>25</v>
      </c>
      <c r="E7" s="7">
        <f>D7*D1/1000</f>
        <v>0</v>
      </c>
      <c r="F7" s="76" t="s">
        <v>88</v>
      </c>
      <c r="G7" s="220">
        <f>D7/85</f>
        <v>0.29411764705882354</v>
      </c>
      <c r="H7" s="221">
        <f>G7*2</f>
        <v>0.58823529411764708</v>
      </c>
      <c r="I7" s="221">
        <f>G7*15</f>
        <v>4.4117647058823533</v>
      </c>
      <c r="J7" s="75"/>
      <c r="K7" s="75">
        <f>H7*4+I7*4+J7*9</f>
        <v>20</v>
      </c>
    </row>
    <row r="8" spans="1:11">
      <c r="A8" s="434"/>
      <c r="B8" s="456"/>
      <c r="C8" s="14" t="s">
        <v>194</v>
      </c>
      <c r="D8" s="31">
        <v>26.25</v>
      </c>
      <c r="E8" s="8">
        <f>D8*D1/1000</f>
        <v>0</v>
      </c>
      <c r="F8" s="75" t="s">
        <v>112</v>
      </c>
      <c r="G8" s="221">
        <f>D8/35</f>
        <v>0.75</v>
      </c>
      <c r="H8" s="221">
        <f>G8*7</f>
        <v>5.25</v>
      </c>
      <c r="I8" s="221"/>
      <c r="J8" s="221">
        <f>G8*5</f>
        <v>3.75</v>
      </c>
      <c r="K8" s="221">
        <f>H8*4+I8*4+J8*9</f>
        <v>54.75</v>
      </c>
    </row>
    <row r="9" spans="1:11">
      <c r="A9" s="434"/>
      <c r="B9" s="456"/>
      <c r="C9" s="14" t="s">
        <v>195</v>
      </c>
      <c r="D9" s="31">
        <v>3</v>
      </c>
      <c r="E9" s="7">
        <f>D9*D1/1000</f>
        <v>0</v>
      </c>
      <c r="F9" s="75" t="s">
        <v>110</v>
      </c>
      <c r="G9" s="38">
        <f>D9/5</f>
        <v>0.6</v>
      </c>
      <c r="H9" s="38"/>
      <c r="I9" s="38"/>
      <c r="J9" s="38">
        <f>G9*5</f>
        <v>3</v>
      </c>
      <c r="K9" s="75">
        <f>H9*4+I9*4+J9*9</f>
        <v>27</v>
      </c>
    </row>
    <row r="10" spans="1:11">
      <c r="A10" s="434"/>
      <c r="B10" s="452" t="s">
        <v>157</v>
      </c>
      <c r="C10" s="14" t="s">
        <v>80</v>
      </c>
      <c r="D10" s="31">
        <v>8</v>
      </c>
      <c r="E10" s="7">
        <f>D10*D1/1000</f>
        <v>0</v>
      </c>
      <c r="F10" s="75" t="s">
        <v>112</v>
      </c>
      <c r="G10" s="221">
        <f>D10/35</f>
        <v>0.22857142857142856</v>
      </c>
      <c r="H10" s="75">
        <f>G10*7</f>
        <v>1.5999999999999999</v>
      </c>
      <c r="I10" s="75"/>
      <c r="J10" s="75">
        <f>H10*3</f>
        <v>4.8</v>
      </c>
      <c r="K10" s="175">
        <f>H10*4+I10*4+J10*9</f>
        <v>49.599999999999994</v>
      </c>
    </row>
    <row r="11" spans="1:11">
      <c r="A11" s="434"/>
      <c r="B11" s="456"/>
      <c r="C11" s="48" t="s">
        <v>196</v>
      </c>
      <c r="D11" s="31">
        <v>18</v>
      </c>
      <c r="E11" s="7">
        <f>D11*D1/1000</f>
        <v>0</v>
      </c>
      <c r="F11" s="75" t="s">
        <v>88</v>
      </c>
      <c r="G11" s="75">
        <v>1</v>
      </c>
      <c r="H11" s="75">
        <v>2</v>
      </c>
      <c r="I11" s="75">
        <v>15</v>
      </c>
      <c r="J11" s="75"/>
      <c r="K11" s="175">
        <f t="shared" ref="K11:K14" si="0">H11*4+I11*4+J11*9</f>
        <v>68</v>
      </c>
    </row>
    <row r="12" spans="1:11">
      <c r="A12" s="434"/>
      <c r="B12" s="456"/>
      <c r="C12" s="14" t="s">
        <v>197</v>
      </c>
      <c r="D12" s="31">
        <v>10</v>
      </c>
      <c r="E12" s="7">
        <f>D12*D1/1000</f>
        <v>0</v>
      </c>
      <c r="F12" s="75" t="s">
        <v>88</v>
      </c>
      <c r="G12" s="221">
        <f>D12/85</f>
        <v>0.11764705882352941</v>
      </c>
      <c r="H12" s="221">
        <f>G12*2</f>
        <v>0.23529411764705882</v>
      </c>
      <c r="I12" s="221">
        <f>G12*15</f>
        <v>1.7647058823529411</v>
      </c>
      <c r="J12" s="221"/>
      <c r="K12" s="221">
        <f t="shared" si="0"/>
        <v>8</v>
      </c>
    </row>
    <row r="13" spans="1:11">
      <c r="A13" s="434"/>
      <c r="B13" s="456"/>
      <c r="C13" s="48" t="s">
        <v>198</v>
      </c>
      <c r="D13" s="31">
        <v>2</v>
      </c>
      <c r="E13" s="8">
        <f>D13*D1/1000</f>
        <v>0</v>
      </c>
      <c r="F13" s="75" t="s">
        <v>81</v>
      </c>
      <c r="G13" s="221">
        <f>D13/100</f>
        <v>0.02</v>
      </c>
      <c r="H13" s="221">
        <f>G13*1</f>
        <v>0.02</v>
      </c>
      <c r="I13" s="221">
        <f>G13*5</f>
        <v>0.1</v>
      </c>
      <c r="J13" s="221"/>
      <c r="K13" s="221">
        <f t="shared" si="0"/>
        <v>0.48000000000000004</v>
      </c>
    </row>
    <row r="14" spans="1:11">
      <c r="A14" s="434"/>
      <c r="B14" s="456"/>
      <c r="C14" s="14" t="s">
        <v>32</v>
      </c>
      <c r="D14" s="31">
        <v>0.5</v>
      </c>
      <c r="E14" s="7">
        <f>D14*D1/1000</f>
        <v>0</v>
      </c>
      <c r="F14" s="75" t="s">
        <v>81</v>
      </c>
      <c r="G14" s="221">
        <f>D14/100</f>
        <v>5.0000000000000001E-3</v>
      </c>
      <c r="H14" s="221">
        <f>G14*1</f>
        <v>5.0000000000000001E-3</v>
      </c>
      <c r="I14" s="221">
        <f>G14*5</f>
        <v>2.5000000000000001E-2</v>
      </c>
      <c r="J14" s="221"/>
      <c r="K14" s="221">
        <f t="shared" si="0"/>
        <v>0.12000000000000001</v>
      </c>
    </row>
    <row r="15" spans="1:11">
      <c r="A15" s="434"/>
      <c r="B15" s="452" t="s">
        <v>676</v>
      </c>
      <c r="C15" s="14" t="s">
        <v>676</v>
      </c>
      <c r="D15" s="31">
        <v>30</v>
      </c>
      <c r="E15" s="7">
        <f>D15*D1/1000</f>
        <v>0</v>
      </c>
      <c r="F15" s="75" t="s">
        <v>81</v>
      </c>
      <c r="G15" s="75">
        <v>0.3</v>
      </c>
      <c r="H15" s="75">
        <f>G15*1</f>
        <v>0.3</v>
      </c>
      <c r="I15" s="75">
        <f>G15*5</f>
        <v>1.5</v>
      </c>
      <c r="J15" s="75"/>
      <c r="K15" s="75">
        <f>H15*4+I15*4+J15*9</f>
        <v>7.2</v>
      </c>
    </row>
    <row r="16" spans="1:11">
      <c r="A16" s="434"/>
      <c r="B16" s="456"/>
      <c r="C16" s="14" t="s">
        <v>52</v>
      </c>
      <c r="D16" s="31">
        <v>0.5</v>
      </c>
      <c r="E16" s="7">
        <f>D16*D1/1000</f>
        <v>0</v>
      </c>
      <c r="F16" s="75"/>
      <c r="G16" s="75"/>
      <c r="H16" s="75"/>
      <c r="I16" s="75"/>
      <c r="J16" s="75"/>
      <c r="K16" s="75"/>
    </row>
    <row r="17" spans="1:11">
      <c r="A17" s="434"/>
      <c r="B17" s="453"/>
      <c r="C17" s="14" t="s">
        <v>183</v>
      </c>
      <c r="D17" s="31">
        <v>2</v>
      </c>
      <c r="E17" s="7">
        <f>D17*D1/1000</f>
        <v>0</v>
      </c>
      <c r="F17" s="75" t="s">
        <v>110</v>
      </c>
      <c r="G17" s="38">
        <f>D17/5</f>
        <v>0.4</v>
      </c>
      <c r="H17" s="38"/>
      <c r="I17" s="38"/>
      <c r="J17" s="38">
        <f>G17*5</f>
        <v>2</v>
      </c>
      <c r="K17" s="75">
        <f>H17*4+I17*4+J17*9</f>
        <v>18</v>
      </c>
    </row>
    <row r="18" spans="1:11">
      <c r="A18" s="434"/>
      <c r="B18" s="457" t="s">
        <v>158</v>
      </c>
      <c r="C18" s="14" t="s">
        <v>199</v>
      </c>
      <c r="D18" s="31">
        <v>20</v>
      </c>
      <c r="E18" s="7">
        <f>D18*D1/1000</f>
        <v>0</v>
      </c>
      <c r="F18" s="75" t="s">
        <v>81</v>
      </c>
      <c r="G18" s="75">
        <f>D18/100</f>
        <v>0.2</v>
      </c>
      <c r="H18" s="75">
        <f>G18*1</f>
        <v>0.2</v>
      </c>
      <c r="I18" s="75">
        <f>G18*5</f>
        <v>1</v>
      </c>
      <c r="J18" s="75"/>
      <c r="K18" s="75">
        <f>H18*4+I18*4+J18*9</f>
        <v>4.8</v>
      </c>
    </row>
    <row r="19" spans="1:11">
      <c r="A19" s="434"/>
      <c r="B19" s="457"/>
      <c r="C19" s="14" t="s">
        <v>59</v>
      </c>
      <c r="D19" s="31">
        <v>0.2</v>
      </c>
      <c r="E19" s="7">
        <f>D19*D1/1000</f>
        <v>0</v>
      </c>
      <c r="F19" s="75" t="s">
        <v>81</v>
      </c>
      <c r="G19" s="75"/>
      <c r="H19" s="75"/>
      <c r="I19" s="75"/>
      <c r="J19" s="75"/>
      <c r="K19" s="75"/>
    </row>
    <row r="20" spans="1:11">
      <c r="A20" s="435"/>
      <c r="B20" s="452"/>
      <c r="C20" s="14" t="s">
        <v>200</v>
      </c>
      <c r="D20" s="31">
        <v>10</v>
      </c>
      <c r="E20" s="7">
        <f>D20*D1/1000</f>
        <v>0</v>
      </c>
      <c r="F20" s="75"/>
      <c r="G20" s="75"/>
      <c r="H20" s="75"/>
      <c r="I20" s="75"/>
      <c r="J20" s="75"/>
      <c r="K20" s="75"/>
    </row>
    <row r="21" spans="1:11">
      <c r="A21" s="440" t="s">
        <v>2</v>
      </c>
      <c r="B21" s="458" t="s">
        <v>201</v>
      </c>
      <c r="C21" s="14" t="s">
        <v>184</v>
      </c>
      <c r="D21" s="31">
        <v>15</v>
      </c>
      <c r="E21" s="8">
        <f>D21*D1/1000</f>
        <v>0</v>
      </c>
      <c r="F21" s="75" t="s">
        <v>112</v>
      </c>
      <c r="G21" s="221">
        <f>D21/55</f>
        <v>0.27272727272727271</v>
      </c>
      <c r="H21" s="221">
        <f>G21*7</f>
        <v>1.9090909090909089</v>
      </c>
      <c r="I21" s="75">
        <v>0</v>
      </c>
      <c r="J21" s="221">
        <f>G21*5</f>
        <v>1.3636363636363635</v>
      </c>
      <c r="K21" s="221">
        <f>H21*4+I21*4+J21*9</f>
        <v>19.909090909090907</v>
      </c>
    </row>
    <row r="22" spans="1:11">
      <c r="A22" s="434"/>
      <c r="B22" s="459"/>
      <c r="C22" s="14" t="s">
        <v>202</v>
      </c>
      <c r="D22" s="31">
        <v>5</v>
      </c>
      <c r="E22" s="7">
        <f>D22*D1/1000</f>
        <v>0</v>
      </c>
      <c r="F22" s="75" t="s">
        <v>88</v>
      </c>
      <c r="G22" s="75">
        <v>0.25</v>
      </c>
      <c r="H22" s="75">
        <f>G22*2</f>
        <v>0.5</v>
      </c>
      <c r="I22" s="75">
        <f>G22*15</f>
        <v>3.75</v>
      </c>
      <c r="J22" s="75"/>
      <c r="K22" s="75"/>
    </row>
    <row r="23" spans="1:11">
      <c r="A23" s="434"/>
      <c r="B23" s="459"/>
      <c r="C23" s="14" t="s">
        <v>61</v>
      </c>
      <c r="D23" s="31">
        <v>3</v>
      </c>
      <c r="E23" s="7">
        <f>D23*D1/1000</f>
        <v>0</v>
      </c>
      <c r="F23" s="75" t="s">
        <v>110</v>
      </c>
      <c r="G23" s="38">
        <f>D23/5</f>
        <v>0.6</v>
      </c>
      <c r="H23" s="38"/>
      <c r="I23" s="38">
        <f>G23*0</f>
        <v>0</v>
      </c>
      <c r="J23" s="38">
        <f>G23*5</f>
        <v>3</v>
      </c>
      <c r="K23" s="75">
        <f>H23*4+I23*4+J23*9</f>
        <v>27</v>
      </c>
    </row>
    <row r="24" spans="1:11">
      <c r="A24" s="434"/>
      <c r="B24" s="460"/>
      <c r="C24" s="14" t="s">
        <v>203</v>
      </c>
      <c r="D24" s="9">
        <v>5</v>
      </c>
      <c r="E24" s="7">
        <f>D24*D1/1000</f>
        <v>0</v>
      </c>
      <c r="F24" s="75" t="s">
        <v>81</v>
      </c>
      <c r="G24" s="75">
        <v>0.05</v>
      </c>
      <c r="H24" s="75">
        <v>0.05</v>
      </c>
      <c r="I24" s="75">
        <v>0.25</v>
      </c>
      <c r="J24" s="75"/>
      <c r="K24" s="75">
        <f>H24*4+I24*4+J24*9</f>
        <v>1.2</v>
      </c>
    </row>
    <row r="25" spans="1:11">
      <c r="A25" s="434"/>
      <c r="B25" s="458" t="s">
        <v>204</v>
      </c>
      <c r="C25" s="14" t="s">
        <v>185</v>
      </c>
      <c r="D25" s="9">
        <v>2</v>
      </c>
      <c r="E25" s="8">
        <f>D25*D1/1000</f>
        <v>0</v>
      </c>
      <c r="F25" s="75" t="s">
        <v>88</v>
      </c>
      <c r="G25" s="75">
        <v>2</v>
      </c>
      <c r="H25" s="75"/>
      <c r="I25" s="75">
        <v>2</v>
      </c>
      <c r="J25" s="75"/>
      <c r="K25" s="75">
        <f>H25*4+I25*4+J25*9</f>
        <v>8</v>
      </c>
    </row>
    <row r="26" spans="1:11">
      <c r="A26" s="435"/>
      <c r="B26" s="460"/>
      <c r="C26" s="14" t="s">
        <v>205</v>
      </c>
      <c r="D26" s="9" t="s">
        <v>60</v>
      </c>
      <c r="E26" s="7"/>
      <c r="F26" s="75" t="s">
        <v>8</v>
      </c>
      <c r="G26" s="75">
        <v>1</v>
      </c>
      <c r="H26" s="75"/>
      <c r="I26" s="75">
        <f>G26*15</f>
        <v>15</v>
      </c>
      <c r="J26" s="75"/>
      <c r="K26" s="75">
        <f>H26*4+I26*4+J26*9</f>
        <v>60</v>
      </c>
    </row>
    <row r="27" spans="1:11" ht="19.5">
      <c r="A27" s="445" t="s">
        <v>499</v>
      </c>
      <c r="B27" s="446"/>
      <c r="C27" s="206"/>
      <c r="D27" s="207"/>
      <c r="E27" s="207"/>
      <c r="F27" s="207"/>
      <c r="G27" s="210"/>
      <c r="H27" s="211">
        <f>SUM(H3:H26)</f>
        <v>26.657620320855614</v>
      </c>
      <c r="I27" s="211">
        <f>SUM(I3:I26)</f>
        <v>101.80147058823529</v>
      </c>
      <c r="J27" s="211">
        <f>SUM(J3:J26)</f>
        <v>21.913636363636364</v>
      </c>
      <c r="K27" s="211">
        <f>H27*4+I27*4+J27*9</f>
        <v>711.05909090909086</v>
      </c>
    </row>
    <row r="28" spans="1:11" ht="19.5">
      <c r="A28" s="436" t="s">
        <v>537</v>
      </c>
      <c r="B28" s="437"/>
      <c r="C28" s="74"/>
      <c r="D28" s="74"/>
      <c r="E28" s="74"/>
      <c r="F28" s="259"/>
      <c r="G28" s="259"/>
      <c r="H28" s="258">
        <f>+H27*4/K27</f>
        <v>0.14996008439621397</v>
      </c>
      <c r="I28" s="257">
        <f>+I27*4/K27</f>
        <v>0.5726751651994596</v>
      </c>
      <c r="J28" s="257">
        <f>+J27*9/K27</f>
        <v>0.27736475040432645</v>
      </c>
      <c r="K28" s="257">
        <f>+H28+I28+J28</f>
        <v>1</v>
      </c>
    </row>
  </sheetData>
  <mergeCells count="19">
    <mergeCell ref="B21:B24"/>
    <mergeCell ref="A28:B28"/>
    <mergeCell ref="A27:B27"/>
    <mergeCell ref="K5:K6"/>
    <mergeCell ref="A21:A26"/>
    <mergeCell ref="B25:B26"/>
    <mergeCell ref="A1:B1"/>
    <mergeCell ref="F1:K1"/>
    <mergeCell ref="B5:B6"/>
    <mergeCell ref="G5:G6"/>
    <mergeCell ref="H5:H6"/>
    <mergeCell ref="A3:A4"/>
    <mergeCell ref="A5:A20"/>
    <mergeCell ref="I5:I6"/>
    <mergeCell ref="J5:J6"/>
    <mergeCell ref="B7:B9"/>
    <mergeCell ref="B10:B14"/>
    <mergeCell ref="B15:B17"/>
    <mergeCell ref="B18:B20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7" zoomScale="70" zoomScaleNormal="70" workbookViewId="0">
      <selection activeCell="B16" sqref="B16:B18"/>
    </sheetView>
  </sheetViews>
  <sheetFormatPr defaultRowHeight="16.5"/>
  <cols>
    <col min="1" max="1" width="5.5" customWidth="1"/>
    <col min="2" max="2" width="15.75" customWidth="1"/>
    <col min="3" max="3" width="12.25" customWidth="1"/>
    <col min="4" max="4" width="6.375" customWidth="1"/>
    <col min="5" max="5" width="8.875" customWidth="1"/>
    <col min="6" max="6" width="5.5" style="80" customWidth="1"/>
    <col min="7" max="7" width="6.625" style="80" customWidth="1"/>
    <col min="8" max="8" width="8.875" style="80" customWidth="1"/>
    <col min="9" max="9" width="9" style="80"/>
    <col min="10" max="10" width="7.5" style="80" customWidth="1"/>
    <col min="11" max="11" width="8.375" style="80" customWidth="1"/>
  </cols>
  <sheetData>
    <row r="1" spans="1:13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3">
      <c r="A2" s="45" t="s">
        <v>327</v>
      </c>
      <c r="B2" s="43" t="s">
        <v>17</v>
      </c>
      <c r="C2" s="24" t="s">
        <v>18</v>
      </c>
      <c r="D2" s="46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3">
      <c r="A3" s="438" t="s">
        <v>0</v>
      </c>
      <c r="B3" s="466" t="s">
        <v>483</v>
      </c>
      <c r="C3" s="13" t="s">
        <v>287</v>
      </c>
      <c r="D3" s="31">
        <v>25</v>
      </c>
      <c r="E3" s="7">
        <f>D3*D1/1000</f>
        <v>0</v>
      </c>
      <c r="F3" s="76" t="s">
        <v>75</v>
      </c>
      <c r="G3" s="76">
        <f>D3/25</f>
        <v>1</v>
      </c>
      <c r="H3" s="175">
        <f>G3*8</f>
        <v>8</v>
      </c>
      <c r="I3" s="175">
        <f>G3*12</f>
        <v>12</v>
      </c>
      <c r="J3" s="175">
        <f>G3*4</f>
        <v>4</v>
      </c>
      <c r="K3" s="175">
        <f>H3*4+I3*4+J3*9</f>
        <v>116</v>
      </c>
    </row>
    <row r="4" spans="1:13">
      <c r="A4" s="439"/>
      <c r="B4" s="467"/>
      <c r="C4" s="12" t="s">
        <v>206</v>
      </c>
      <c r="D4" s="9">
        <v>30</v>
      </c>
      <c r="E4" s="7">
        <f>D4*D1/1000</f>
        <v>0</v>
      </c>
      <c r="F4" s="78" t="s">
        <v>88</v>
      </c>
      <c r="G4" s="77">
        <f>D4/20</f>
        <v>1.5</v>
      </c>
      <c r="H4" s="175">
        <f>G4*2</f>
        <v>3</v>
      </c>
      <c r="I4" s="175">
        <f>G4*15</f>
        <v>22.5</v>
      </c>
      <c r="J4" s="175">
        <f>G4*0</f>
        <v>0</v>
      </c>
      <c r="K4" s="175">
        <f>H4*4+I4*4+J4*9</f>
        <v>102</v>
      </c>
    </row>
    <row r="5" spans="1:13" s="173" customFormat="1">
      <c r="A5" s="455"/>
      <c r="B5" s="468"/>
      <c r="C5" s="216" t="s">
        <v>503</v>
      </c>
      <c r="D5" s="46">
        <v>5</v>
      </c>
      <c r="E5" s="7">
        <f>D5*D1/1000</f>
        <v>0</v>
      </c>
      <c r="F5" s="78" t="s">
        <v>110</v>
      </c>
      <c r="G5" s="217">
        <f>D5/8</f>
        <v>0.625</v>
      </c>
      <c r="H5" s="223"/>
      <c r="I5" s="217">
        <f>G5*5</f>
        <v>3.125</v>
      </c>
      <c r="J5" s="217"/>
      <c r="K5" s="175">
        <f>H5*4+I5*4+J5*9</f>
        <v>12.5</v>
      </c>
    </row>
    <row r="6" spans="1:13">
      <c r="A6" s="440" t="s">
        <v>1</v>
      </c>
      <c r="B6" s="4" t="s">
        <v>289</v>
      </c>
      <c r="C6" s="49" t="s">
        <v>28</v>
      </c>
      <c r="D6" s="47">
        <v>40</v>
      </c>
      <c r="E6" s="7">
        <f>D6*D1/1000</f>
        <v>0</v>
      </c>
      <c r="F6" s="75" t="s">
        <v>88</v>
      </c>
      <c r="G6" s="75">
        <v>2</v>
      </c>
      <c r="H6" s="75">
        <v>4</v>
      </c>
      <c r="I6" s="75">
        <v>30</v>
      </c>
      <c r="J6" s="75">
        <v>0</v>
      </c>
      <c r="K6" s="75">
        <f t="shared" ref="K6:K24" si="0">H6*4+I6*4+J6*9</f>
        <v>136</v>
      </c>
    </row>
    <row r="7" spans="1:13">
      <c r="A7" s="434"/>
      <c r="B7" s="463" t="s">
        <v>290</v>
      </c>
      <c r="C7" s="66" t="s">
        <v>184</v>
      </c>
      <c r="D7" s="9">
        <v>25</v>
      </c>
      <c r="E7" s="7">
        <f>D7*D1/1000</f>
        <v>0</v>
      </c>
      <c r="F7" s="76" t="s">
        <v>112</v>
      </c>
      <c r="G7" s="225">
        <f>D7/55</f>
        <v>0.45454545454545453</v>
      </c>
      <c r="H7" s="221">
        <f>G7*7</f>
        <v>3.1818181818181817</v>
      </c>
      <c r="I7" s="221"/>
      <c r="J7" s="221">
        <f>G7*5</f>
        <v>2.2727272727272725</v>
      </c>
      <c r="K7" s="221">
        <f t="shared" si="0"/>
        <v>33.18181818181818</v>
      </c>
    </row>
    <row r="8" spans="1:13">
      <c r="A8" s="434"/>
      <c r="B8" s="463"/>
      <c r="C8" s="66" t="s">
        <v>506</v>
      </c>
      <c r="D8" s="47">
        <v>15</v>
      </c>
      <c r="E8" s="7">
        <f>D8*D1/1000</f>
        <v>0</v>
      </c>
      <c r="F8" s="76" t="s">
        <v>112</v>
      </c>
      <c r="G8" s="225">
        <f>D8/35</f>
        <v>0.42857142857142855</v>
      </c>
      <c r="H8" s="221">
        <f>G8*7</f>
        <v>3</v>
      </c>
      <c r="I8" s="221"/>
      <c r="J8" s="221">
        <f>G8*5</f>
        <v>2.1428571428571428</v>
      </c>
      <c r="K8" s="221">
        <f t="shared" si="0"/>
        <v>31.285714285714285</v>
      </c>
    </row>
    <row r="9" spans="1:13">
      <c r="A9" s="434"/>
      <c r="B9" s="463"/>
      <c r="C9" s="49" t="s">
        <v>291</v>
      </c>
      <c r="D9" s="31">
        <v>10</v>
      </c>
      <c r="E9" s="7">
        <f>D9*D1/1000</f>
        <v>0</v>
      </c>
      <c r="F9" s="78" t="s">
        <v>112</v>
      </c>
      <c r="G9" s="75">
        <f>D9/50</f>
        <v>0.2</v>
      </c>
      <c r="H9" s="75">
        <f>G9*7</f>
        <v>1.4000000000000001</v>
      </c>
      <c r="I9" s="75"/>
      <c r="J9" s="75">
        <f>G9*3</f>
        <v>0.60000000000000009</v>
      </c>
      <c r="K9" s="75">
        <f t="shared" si="0"/>
        <v>11</v>
      </c>
    </row>
    <row r="10" spans="1:13">
      <c r="A10" s="434"/>
      <c r="B10" s="463"/>
      <c r="C10" s="49" t="s">
        <v>32</v>
      </c>
      <c r="D10" s="31">
        <v>0.5</v>
      </c>
      <c r="E10" s="7">
        <f>D10*D1/1000</f>
        <v>0</v>
      </c>
      <c r="F10" s="77" t="s">
        <v>24</v>
      </c>
      <c r="G10" s="75"/>
      <c r="H10" s="75"/>
      <c r="I10" s="75"/>
      <c r="J10" s="75"/>
      <c r="K10" s="75">
        <f t="shared" si="0"/>
        <v>0</v>
      </c>
    </row>
    <row r="11" spans="1:13">
      <c r="A11" s="434"/>
      <c r="B11" s="463"/>
      <c r="C11" s="49" t="s">
        <v>52</v>
      </c>
      <c r="D11" s="31">
        <v>0.3</v>
      </c>
      <c r="E11" s="7">
        <f>D11*D1/1000</f>
        <v>0</v>
      </c>
      <c r="F11" s="77" t="s">
        <v>24</v>
      </c>
      <c r="G11" s="75"/>
      <c r="H11" s="75"/>
      <c r="I11" s="75"/>
      <c r="J11" s="75"/>
      <c r="K11" s="75">
        <f t="shared" si="0"/>
        <v>0</v>
      </c>
    </row>
    <row r="12" spans="1:13">
      <c r="A12" s="434"/>
      <c r="B12" s="463"/>
      <c r="C12" s="49" t="s">
        <v>261</v>
      </c>
      <c r="D12" s="31">
        <v>3</v>
      </c>
      <c r="E12" s="7">
        <f>D12*D1/1000</f>
        <v>0</v>
      </c>
      <c r="F12" s="77" t="s">
        <v>24</v>
      </c>
      <c r="G12" s="75"/>
      <c r="H12" s="75"/>
      <c r="I12" s="75"/>
      <c r="J12" s="75"/>
      <c r="K12" s="75">
        <f t="shared" si="0"/>
        <v>0</v>
      </c>
    </row>
    <row r="13" spans="1:13">
      <c r="A13" s="434"/>
      <c r="B13" s="463"/>
      <c r="C13" s="68" t="s">
        <v>195</v>
      </c>
      <c r="D13" s="111">
        <v>6</v>
      </c>
      <c r="E13" s="7">
        <f>D13*D1/1000</f>
        <v>0</v>
      </c>
      <c r="F13" s="78" t="s">
        <v>110</v>
      </c>
      <c r="G13" s="75">
        <f>D13/5</f>
        <v>1.2</v>
      </c>
      <c r="H13" s="75"/>
      <c r="I13" s="75"/>
      <c r="J13" s="75">
        <f>G13*5</f>
        <v>6</v>
      </c>
      <c r="K13" s="75">
        <f t="shared" si="0"/>
        <v>54</v>
      </c>
    </row>
    <row r="14" spans="1:13">
      <c r="A14" s="434"/>
      <c r="B14" s="464"/>
      <c r="C14" s="49" t="s">
        <v>100</v>
      </c>
      <c r="D14" s="31">
        <v>1</v>
      </c>
      <c r="E14" s="8">
        <f>D14*D1/1000</f>
        <v>0</v>
      </c>
      <c r="F14" s="78" t="s">
        <v>110</v>
      </c>
      <c r="G14" s="75">
        <f>D14/5</f>
        <v>0.2</v>
      </c>
      <c r="H14" s="75"/>
      <c r="I14" s="75"/>
      <c r="J14" s="75">
        <f>G14*5</f>
        <v>1</v>
      </c>
      <c r="K14" s="75">
        <f t="shared" si="0"/>
        <v>9</v>
      </c>
    </row>
    <row r="15" spans="1:13" s="173" customFormat="1">
      <c r="A15" s="434"/>
      <c r="B15" s="46" t="s">
        <v>505</v>
      </c>
      <c r="C15" s="216" t="s">
        <v>264</v>
      </c>
      <c r="D15" s="46">
        <v>10</v>
      </c>
      <c r="E15" s="8">
        <f>D15*D1/1000</f>
        <v>0</v>
      </c>
      <c r="F15" s="218" t="s">
        <v>112</v>
      </c>
      <c r="G15" s="217">
        <f>D15/20</f>
        <v>0.5</v>
      </c>
      <c r="H15" s="223">
        <f>G15*7</f>
        <v>3.5</v>
      </c>
      <c r="I15" s="217">
        <f>G15*5</f>
        <v>2.5</v>
      </c>
      <c r="J15" s="217">
        <f>G15*5</f>
        <v>2.5</v>
      </c>
      <c r="K15" s="221">
        <f t="shared" si="0"/>
        <v>46.5</v>
      </c>
      <c r="M15" s="224"/>
    </row>
    <row r="16" spans="1:13">
      <c r="A16" s="434"/>
      <c r="B16" s="463" t="s">
        <v>677</v>
      </c>
      <c r="C16" s="14" t="s">
        <v>52</v>
      </c>
      <c r="D16" s="58">
        <v>0.5</v>
      </c>
      <c r="E16" s="8">
        <f>D16*D1/1000</f>
        <v>0</v>
      </c>
      <c r="F16" s="106" t="s">
        <v>24</v>
      </c>
      <c r="G16" s="76"/>
      <c r="H16" s="75"/>
      <c r="I16" s="75"/>
      <c r="J16" s="75"/>
      <c r="K16" s="75">
        <f t="shared" si="0"/>
        <v>0</v>
      </c>
    </row>
    <row r="17" spans="1:11">
      <c r="A17" s="434"/>
      <c r="B17" s="463"/>
      <c r="C17" s="14" t="s">
        <v>678</v>
      </c>
      <c r="D17" s="31">
        <v>40</v>
      </c>
      <c r="E17" s="7">
        <f>D17*D1/1000</f>
        <v>0</v>
      </c>
      <c r="F17" s="75" t="s">
        <v>81</v>
      </c>
      <c r="G17" s="75">
        <f>D17/100</f>
        <v>0.4</v>
      </c>
      <c r="H17" s="75">
        <f>1*G17</f>
        <v>0.4</v>
      </c>
      <c r="I17" s="75">
        <f>G17*5</f>
        <v>2</v>
      </c>
      <c r="J17" s="75">
        <f>0</f>
        <v>0</v>
      </c>
      <c r="K17" s="75">
        <f t="shared" si="0"/>
        <v>9.6</v>
      </c>
    </row>
    <row r="18" spans="1:11">
      <c r="A18" s="434"/>
      <c r="B18" s="464"/>
      <c r="C18" s="22" t="s">
        <v>183</v>
      </c>
      <c r="D18" s="9">
        <v>5</v>
      </c>
      <c r="E18" s="7">
        <f>D18*D1/1000</f>
        <v>0</v>
      </c>
      <c r="F18" s="75" t="s">
        <v>110</v>
      </c>
      <c r="G18" s="75">
        <f>D18/5</f>
        <v>1</v>
      </c>
      <c r="H18" s="75"/>
      <c r="I18" s="75"/>
      <c r="J18" s="75">
        <f>G18*5</f>
        <v>5</v>
      </c>
      <c r="K18" s="75">
        <f t="shared" si="0"/>
        <v>45</v>
      </c>
    </row>
    <row r="19" spans="1:11">
      <c r="A19" s="434"/>
      <c r="B19" s="465" t="s">
        <v>292</v>
      </c>
      <c r="C19" s="14" t="s">
        <v>59</v>
      </c>
      <c r="D19" s="31">
        <v>0.5</v>
      </c>
      <c r="E19" s="7">
        <f>D19*D1/1000</f>
        <v>0</v>
      </c>
      <c r="F19" s="77" t="s">
        <v>24</v>
      </c>
      <c r="G19" s="75"/>
      <c r="H19" s="75"/>
      <c r="I19" s="75"/>
      <c r="J19" s="75"/>
      <c r="K19" s="75">
        <f t="shared" si="0"/>
        <v>0</v>
      </c>
    </row>
    <row r="20" spans="1:11">
      <c r="A20" s="434"/>
      <c r="B20" s="463"/>
      <c r="C20" s="14" t="s">
        <v>280</v>
      </c>
      <c r="D20" s="31">
        <v>0.5</v>
      </c>
      <c r="E20" s="7">
        <f>D20*D1/1000</f>
        <v>0</v>
      </c>
      <c r="F20" s="77" t="s">
        <v>24</v>
      </c>
      <c r="G20" s="75"/>
      <c r="H20" s="75"/>
      <c r="I20" s="75"/>
      <c r="J20" s="75"/>
      <c r="K20" s="75">
        <f t="shared" si="0"/>
        <v>0</v>
      </c>
    </row>
    <row r="21" spans="1:11">
      <c r="A21" s="434"/>
      <c r="B21" s="463"/>
      <c r="C21" s="14" t="s">
        <v>293</v>
      </c>
      <c r="D21" s="31">
        <v>1</v>
      </c>
      <c r="E21" s="7">
        <f>D21*D1/1000</f>
        <v>0</v>
      </c>
      <c r="F21" s="77" t="s">
        <v>24</v>
      </c>
      <c r="G21" s="75"/>
      <c r="H21" s="75"/>
      <c r="I21" s="75"/>
      <c r="J21" s="75"/>
      <c r="K21" s="75">
        <f t="shared" si="0"/>
        <v>0</v>
      </c>
    </row>
    <row r="22" spans="1:11">
      <c r="A22" s="435"/>
      <c r="B22" s="463"/>
      <c r="C22" s="14" t="s">
        <v>294</v>
      </c>
      <c r="D22" s="31">
        <v>10</v>
      </c>
      <c r="E22" s="7">
        <f>D22*D1/1000</f>
        <v>0</v>
      </c>
      <c r="F22" s="77" t="s">
        <v>24</v>
      </c>
      <c r="G22" s="75"/>
      <c r="H22" s="75"/>
      <c r="I22" s="75"/>
      <c r="J22" s="75"/>
      <c r="K22" s="75">
        <f t="shared" si="0"/>
        <v>0</v>
      </c>
    </row>
    <row r="23" spans="1:11">
      <c r="A23" s="440" t="s">
        <v>2</v>
      </c>
      <c r="B23" s="440" t="s">
        <v>214</v>
      </c>
      <c r="C23" s="49" t="s">
        <v>215</v>
      </c>
      <c r="D23" s="31">
        <v>45</v>
      </c>
      <c r="E23" s="7">
        <f>D23*D1/1000</f>
        <v>0</v>
      </c>
      <c r="F23" s="77" t="s">
        <v>24</v>
      </c>
      <c r="G23" s="221">
        <f>D23/70</f>
        <v>0.6428571428571429</v>
      </c>
      <c r="H23" s="221">
        <f>G23*2</f>
        <v>1.2857142857142858</v>
      </c>
      <c r="I23" s="221">
        <f>G23*15</f>
        <v>9.6428571428571441</v>
      </c>
      <c r="J23" s="221"/>
      <c r="K23" s="221">
        <f t="shared" si="0"/>
        <v>43.714285714285722</v>
      </c>
    </row>
    <row r="24" spans="1:11">
      <c r="A24" s="434"/>
      <c r="B24" s="434"/>
      <c r="C24" s="49" t="s">
        <v>216</v>
      </c>
      <c r="D24" s="31">
        <v>20</v>
      </c>
      <c r="E24" s="7">
        <f>D24*D1/1000</f>
        <v>0</v>
      </c>
      <c r="F24" s="85" t="s">
        <v>81</v>
      </c>
      <c r="G24" s="175">
        <v>0.1</v>
      </c>
      <c r="H24" s="175">
        <f>1*G24</f>
        <v>0.1</v>
      </c>
      <c r="I24" s="175">
        <f>G24*5</f>
        <v>0.5</v>
      </c>
      <c r="J24" s="175">
        <f>0</f>
        <v>0</v>
      </c>
      <c r="K24" s="175">
        <f t="shared" si="0"/>
        <v>2.4</v>
      </c>
    </row>
    <row r="25" spans="1:11">
      <c r="A25" s="434"/>
      <c r="B25" s="434"/>
      <c r="C25" s="49" t="s">
        <v>38</v>
      </c>
      <c r="D25" s="31">
        <v>1</v>
      </c>
      <c r="E25" s="7">
        <f>D25*D1/1000</f>
        <v>0</v>
      </c>
      <c r="F25" s="161" t="s">
        <v>24</v>
      </c>
      <c r="G25" s="175"/>
      <c r="H25" s="175"/>
      <c r="I25" s="175"/>
      <c r="J25" s="175"/>
      <c r="K25" s="175"/>
    </row>
    <row r="26" spans="1:11">
      <c r="A26" s="435"/>
      <c r="B26" s="174" t="s">
        <v>629</v>
      </c>
      <c r="C26" s="49" t="s">
        <v>629</v>
      </c>
      <c r="D26" s="9" t="s">
        <v>60</v>
      </c>
      <c r="E26" s="7"/>
      <c r="F26" s="175" t="s">
        <v>8</v>
      </c>
      <c r="G26" s="77" t="s">
        <v>311</v>
      </c>
      <c r="H26" s="175">
        <v>0</v>
      </c>
      <c r="I26" s="175">
        <v>15</v>
      </c>
      <c r="J26" s="175">
        <v>0</v>
      </c>
      <c r="K26" s="175">
        <f t="shared" ref="K26" si="1">H26*4+I26*4+J26*9</f>
        <v>60</v>
      </c>
    </row>
    <row r="27" spans="1:11" ht="19.5">
      <c r="A27" s="445" t="s">
        <v>499</v>
      </c>
      <c r="B27" s="446"/>
      <c r="C27" s="206"/>
      <c r="D27" s="207"/>
      <c r="E27" s="207"/>
      <c r="F27" s="207"/>
      <c r="G27" s="210"/>
      <c r="H27" s="211">
        <f>SUM(H3:H26)</f>
        <v>27.867532467532463</v>
      </c>
      <c r="I27" s="211">
        <f>SUM(I3:I26)</f>
        <v>97.267857142857139</v>
      </c>
      <c r="J27" s="211">
        <f>SUM(J3:J26)</f>
        <v>23.515584415584414</v>
      </c>
      <c r="K27" s="211">
        <f>SUM(K3:K26)</f>
        <v>712.18181818181813</v>
      </c>
    </row>
    <row r="28" spans="1:11" ht="19.5">
      <c r="A28" s="461" t="s">
        <v>537</v>
      </c>
      <c r="B28" s="462"/>
      <c r="C28" s="261"/>
      <c r="D28" s="261"/>
      <c r="E28" s="261"/>
      <c r="F28" s="262"/>
      <c r="G28" s="262"/>
      <c r="H28" s="258">
        <f>+H27*4/K27</f>
        <v>0.15651920201320252</v>
      </c>
      <c r="I28" s="257">
        <f>+I27*4/K27</f>
        <v>0.54630912870637149</v>
      </c>
      <c r="J28" s="257">
        <f>+J27*9/K27</f>
        <v>0.29717166928042599</v>
      </c>
      <c r="K28" s="257">
        <f>+H28+I28+J28</f>
        <v>1</v>
      </c>
    </row>
  </sheetData>
  <sheetProtection objects="1"/>
  <mergeCells count="12">
    <mergeCell ref="A28:B28"/>
    <mergeCell ref="F1:K1"/>
    <mergeCell ref="A23:A26"/>
    <mergeCell ref="A6:A22"/>
    <mergeCell ref="B7:B14"/>
    <mergeCell ref="B16:B18"/>
    <mergeCell ref="B19:B22"/>
    <mergeCell ref="A27:B27"/>
    <mergeCell ref="B3:B5"/>
    <mergeCell ref="A3:A5"/>
    <mergeCell ref="B23:B25"/>
    <mergeCell ref="A1:B1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70" zoomScaleNormal="70" workbookViewId="0">
      <selection activeCell="N25" sqref="N25"/>
    </sheetView>
  </sheetViews>
  <sheetFormatPr defaultRowHeight="16.5"/>
  <cols>
    <col min="1" max="1" width="5.5" customWidth="1"/>
    <col min="2" max="2" width="13.375" customWidth="1"/>
    <col min="3" max="3" width="12.25" customWidth="1"/>
    <col min="4" max="4" width="6.375" customWidth="1"/>
    <col min="5" max="5" width="9.75" customWidth="1"/>
    <col min="6" max="6" width="5.5" style="80" customWidth="1"/>
    <col min="7" max="7" width="6.625" style="80" customWidth="1"/>
    <col min="8" max="8" width="10.375" style="80" customWidth="1"/>
    <col min="9" max="9" width="9" style="80"/>
    <col min="10" max="10" width="8.625" style="80" customWidth="1"/>
    <col min="11" max="11" width="8.375" style="80" customWidth="1"/>
  </cols>
  <sheetData>
    <row r="1" spans="1:12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2">
      <c r="A2" s="45" t="s">
        <v>327</v>
      </c>
      <c r="B2" s="28" t="s">
        <v>17</v>
      </c>
      <c r="C2" s="24" t="s">
        <v>18</v>
      </c>
      <c r="D2" s="46" t="s">
        <v>20</v>
      </c>
      <c r="E2" s="28" t="s">
        <v>131</v>
      </c>
      <c r="F2" s="87" t="s">
        <v>130</v>
      </c>
      <c r="G2" s="87" t="s">
        <v>132</v>
      </c>
      <c r="H2" s="87" t="s">
        <v>307</v>
      </c>
      <c r="I2" s="88" t="s">
        <v>308</v>
      </c>
      <c r="J2" s="88" t="s">
        <v>309</v>
      </c>
      <c r="K2" s="88" t="s">
        <v>310</v>
      </c>
    </row>
    <row r="3" spans="1:12">
      <c r="A3" s="438" t="s">
        <v>0</v>
      </c>
      <c r="B3" s="441" t="s">
        <v>9</v>
      </c>
      <c r="C3" s="12" t="s">
        <v>136</v>
      </c>
      <c r="D3" s="176">
        <v>60</v>
      </c>
      <c r="E3" s="7">
        <f>D3*D1/1000</f>
        <v>0</v>
      </c>
      <c r="F3" s="76" t="s">
        <v>88</v>
      </c>
      <c r="G3" s="225">
        <f>D3/50</f>
        <v>1.2</v>
      </c>
      <c r="H3" s="221">
        <f>G3*2</f>
        <v>2.4</v>
      </c>
      <c r="I3" s="221">
        <f>G3*15</f>
        <v>18</v>
      </c>
      <c r="J3" s="221">
        <f>G3*0</f>
        <v>0</v>
      </c>
      <c r="K3" s="221">
        <f>H3*4+I3*4+J3*9</f>
        <v>81.599999999999994</v>
      </c>
    </row>
    <row r="4" spans="1:12">
      <c r="A4" s="439"/>
      <c r="B4" s="442"/>
      <c r="C4" s="12" t="s">
        <v>23</v>
      </c>
      <c r="D4" s="176">
        <v>3</v>
      </c>
      <c r="E4" s="7">
        <f>D4*D1/1000</f>
        <v>0</v>
      </c>
      <c r="F4" s="77" t="s">
        <v>24</v>
      </c>
      <c r="G4" s="251"/>
      <c r="H4" s="221"/>
      <c r="I4" s="221"/>
      <c r="J4" s="221"/>
      <c r="K4" s="221">
        <f t="shared" ref="K4:K10" si="0">H4*4+I4*4+J4*9</f>
        <v>0</v>
      </c>
    </row>
    <row r="5" spans="1:12" s="173" customFormat="1">
      <c r="A5" s="439"/>
      <c r="B5" s="442"/>
      <c r="C5" s="12" t="s">
        <v>19</v>
      </c>
      <c r="D5" s="176">
        <v>0.3</v>
      </c>
      <c r="E5" s="7">
        <f>D5*D1/1000</f>
        <v>0</v>
      </c>
      <c r="F5" s="77" t="s">
        <v>24</v>
      </c>
      <c r="G5" s="251"/>
      <c r="H5" s="221"/>
      <c r="I5" s="221"/>
      <c r="J5" s="221"/>
      <c r="K5" s="221">
        <f t="shared" si="0"/>
        <v>0</v>
      </c>
    </row>
    <row r="6" spans="1:12" s="173" customFormat="1">
      <c r="A6" s="439"/>
      <c r="B6" s="442"/>
      <c r="C6" s="27" t="s">
        <v>21</v>
      </c>
      <c r="D6" s="176">
        <v>0.5</v>
      </c>
      <c r="E6" s="7">
        <f>D6*D1/1000</f>
        <v>0</v>
      </c>
      <c r="F6" s="77" t="s">
        <v>24</v>
      </c>
      <c r="G6" s="251"/>
      <c r="H6" s="221"/>
      <c r="I6" s="221"/>
      <c r="J6" s="221"/>
      <c r="K6" s="221">
        <f t="shared" si="0"/>
        <v>0</v>
      </c>
    </row>
    <row r="7" spans="1:12" s="173" customFormat="1">
      <c r="A7" s="439"/>
      <c r="B7" s="442"/>
      <c r="C7" s="27" t="s">
        <v>22</v>
      </c>
      <c r="D7" s="176">
        <v>0.5</v>
      </c>
      <c r="E7" s="7">
        <f>D7*D1/1000</f>
        <v>0</v>
      </c>
      <c r="F7" s="77" t="s">
        <v>24</v>
      </c>
      <c r="G7" s="221"/>
      <c r="H7" s="221"/>
      <c r="I7" s="221"/>
      <c r="J7" s="221"/>
      <c r="K7" s="221"/>
    </row>
    <row r="8" spans="1:12" s="173" customFormat="1">
      <c r="A8" s="439"/>
      <c r="B8" s="442"/>
      <c r="C8" s="27" t="s">
        <v>14</v>
      </c>
      <c r="D8" s="176">
        <v>10</v>
      </c>
      <c r="E8" s="8">
        <f>D8*D1/1000</f>
        <v>0</v>
      </c>
      <c r="F8" s="76" t="s">
        <v>81</v>
      </c>
      <c r="G8" s="225">
        <f>D8/100</f>
        <v>0.1</v>
      </c>
      <c r="H8" s="221">
        <f>1*G8</f>
        <v>0.1</v>
      </c>
      <c r="I8" s="221">
        <f>G8*5</f>
        <v>0.5</v>
      </c>
      <c r="J8" s="221">
        <f>0</f>
        <v>0</v>
      </c>
      <c r="K8" s="221">
        <f t="shared" si="0"/>
        <v>2.4</v>
      </c>
    </row>
    <row r="9" spans="1:12" s="173" customFormat="1">
      <c r="A9" s="439"/>
      <c r="B9" s="442"/>
      <c r="C9" s="27" t="s">
        <v>25</v>
      </c>
      <c r="D9" s="176">
        <v>0.1</v>
      </c>
      <c r="E9" s="7">
        <f>D9*D1/1000</f>
        <v>0</v>
      </c>
      <c r="F9" s="77" t="s">
        <v>24</v>
      </c>
      <c r="G9" s="251"/>
      <c r="H9" s="221"/>
      <c r="I9" s="221"/>
      <c r="J9" s="221"/>
      <c r="K9" s="221">
        <f t="shared" si="0"/>
        <v>0</v>
      </c>
    </row>
    <row r="10" spans="1:12" s="173" customFormat="1">
      <c r="A10" s="439"/>
      <c r="B10" s="443"/>
      <c r="C10" s="14" t="s">
        <v>61</v>
      </c>
      <c r="D10" s="31">
        <v>2</v>
      </c>
      <c r="E10" s="7">
        <f>D10*D1/1000</f>
        <v>0</v>
      </c>
      <c r="F10" s="175" t="s">
        <v>110</v>
      </c>
      <c r="G10" s="229">
        <f>D10/5</f>
        <v>0.4</v>
      </c>
      <c r="H10" s="229">
        <f>0</f>
        <v>0</v>
      </c>
      <c r="I10" s="229">
        <f>G10*0</f>
        <v>0</v>
      </c>
      <c r="J10" s="229">
        <f>G10*5</f>
        <v>2</v>
      </c>
      <c r="K10" s="221">
        <f t="shared" si="0"/>
        <v>18</v>
      </c>
    </row>
    <row r="11" spans="1:12">
      <c r="A11" s="440" t="s">
        <v>1</v>
      </c>
      <c r="B11" s="189" t="s">
        <v>166</v>
      </c>
      <c r="C11" s="14" t="s">
        <v>28</v>
      </c>
      <c r="D11" s="47">
        <v>40</v>
      </c>
      <c r="E11" s="7">
        <f>D11*D1/1000</f>
        <v>0</v>
      </c>
      <c r="F11" s="75" t="s">
        <v>88</v>
      </c>
      <c r="G11" s="246">
        <v>2</v>
      </c>
      <c r="H11" s="221">
        <f>G11*2</f>
        <v>4</v>
      </c>
      <c r="I11" s="221">
        <f>G11*15</f>
        <v>30</v>
      </c>
      <c r="J11" s="221">
        <f>G11*0</f>
        <v>0</v>
      </c>
      <c r="K11" s="221">
        <f>H11*4+I11*4+J11*9</f>
        <v>136</v>
      </c>
    </row>
    <row r="12" spans="1:12">
      <c r="A12" s="434"/>
      <c r="B12" s="465" t="s">
        <v>207</v>
      </c>
      <c r="C12" s="13" t="s">
        <v>208</v>
      </c>
      <c r="D12" s="31">
        <v>25</v>
      </c>
      <c r="E12" s="7">
        <f>D12*D1/1000</f>
        <v>0</v>
      </c>
      <c r="F12" s="89" t="s">
        <v>112</v>
      </c>
      <c r="G12" s="225">
        <f>D12/35</f>
        <v>0.7142857142857143</v>
      </c>
      <c r="H12" s="221">
        <f>G12*7</f>
        <v>5</v>
      </c>
      <c r="I12" s="221">
        <v>0</v>
      </c>
      <c r="J12" s="221">
        <f>G12*5</f>
        <v>3.5714285714285716</v>
      </c>
      <c r="K12" s="221">
        <f>H12*4+I12*4+J12*9</f>
        <v>52.142857142857146</v>
      </c>
    </row>
    <row r="13" spans="1:12">
      <c r="A13" s="434"/>
      <c r="B13" s="463"/>
      <c r="C13" s="14" t="s">
        <v>209</v>
      </c>
      <c r="D13" s="31">
        <v>5</v>
      </c>
      <c r="E13" s="7">
        <f>D13*D1/1000</f>
        <v>0</v>
      </c>
      <c r="F13" s="161" t="s">
        <v>24</v>
      </c>
      <c r="G13" s="221"/>
      <c r="H13" s="221"/>
      <c r="I13" s="221"/>
      <c r="J13" s="221"/>
      <c r="K13" s="221"/>
    </row>
    <row r="14" spans="1:12" s="182" customFormat="1">
      <c r="A14" s="434"/>
      <c r="B14" s="463"/>
      <c r="C14" s="14" t="s">
        <v>223</v>
      </c>
      <c r="D14" s="31">
        <v>25</v>
      </c>
      <c r="E14" s="7"/>
      <c r="F14" s="186" t="s">
        <v>88</v>
      </c>
      <c r="G14" s="243">
        <f>D14/90</f>
        <v>0.27777777777777779</v>
      </c>
      <c r="H14" s="221">
        <f>G14*2</f>
        <v>0.55555555555555558</v>
      </c>
      <c r="I14" s="221">
        <f>G14*15</f>
        <v>4.166666666666667</v>
      </c>
      <c r="J14" s="221">
        <f>G14*0</f>
        <v>0</v>
      </c>
      <c r="K14" s="221">
        <f>H14*4+I14*4+J14*9</f>
        <v>18.888888888888889</v>
      </c>
      <c r="L14" s="228"/>
    </row>
    <row r="15" spans="1:12">
      <c r="A15" s="434"/>
      <c r="B15" s="463"/>
      <c r="C15" s="14" t="s">
        <v>210</v>
      </c>
      <c r="D15" s="31" t="s">
        <v>182</v>
      </c>
      <c r="E15" s="8"/>
      <c r="F15" s="77" t="s">
        <v>24</v>
      </c>
      <c r="G15" s="243"/>
      <c r="H15" s="243"/>
      <c r="I15" s="243"/>
      <c r="J15" s="243"/>
      <c r="K15" s="243"/>
    </row>
    <row r="16" spans="1:12">
      <c r="A16" s="434"/>
      <c r="B16" s="463"/>
      <c r="C16" s="14" t="s">
        <v>211</v>
      </c>
      <c r="D16" s="31">
        <v>0.2</v>
      </c>
      <c r="E16" s="7">
        <f>D16*D1/1000</f>
        <v>0</v>
      </c>
      <c r="F16" s="77" t="s">
        <v>24</v>
      </c>
      <c r="G16" s="221"/>
      <c r="H16" s="221"/>
      <c r="I16" s="221"/>
      <c r="J16" s="221"/>
      <c r="K16" s="221"/>
    </row>
    <row r="17" spans="1:11">
      <c r="A17" s="434"/>
      <c r="B17" s="463"/>
      <c r="C17" s="14" t="s">
        <v>37</v>
      </c>
      <c r="D17" s="31">
        <v>0.2</v>
      </c>
      <c r="E17" s="7">
        <f>D17*D1/1000</f>
        <v>0</v>
      </c>
      <c r="F17" s="77" t="s">
        <v>24</v>
      </c>
      <c r="G17" s="221"/>
      <c r="H17" s="221"/>
      <c r="I17" s="221"/>
      <c r="J17" s="221"/>
      <c r="K17" s="221"/>
    </row>
    <row r="18" spans="1:11">
      <c r="A18" s="434"/>
      <c r="B18" s="465" t="s">
        <v>159</v>
      </c>
      <c r="C18" s="14" t="s">
        <v>212</v>
      </c>
      <c r="D18" s="31">
        <v>20</v>
      </c>
      <c r="E18" s="7">
        <f>D18*D1/1000</f>
        <v>0</v>
      </c>
      <c r="F18" s="76" t="s">
        <v>112</v>
      </c>
      <c r="G18" s="225">
        <f>D18/35</f>
        <v>0.5714285714285714</v>
      </c>
      <c r="H18" s="221">
        <f>G18*7</f>
        <v>4</v>
      </c>
      <c r="I18" s="221">
        <v>0</v>
      </c>
      <c r="J18" s="221">
        <f>G18*5</f>
        <v>2.8571428571428568</v>
      </c>
      <c r="K18" s="221">
        <f>H18*4+I18*4+J18*9</f>
        <v>41.714285714285708</v>
      </c>
    </row>
    <row r="19" spans="1:11">
      <c r="A19" s="434"/>
      <c r="B19" s="463"/>
      <c r="C19" s="14" t="s">
        <v>52</v>
      </c>
      <c r="D19" s="31">
        <v>0.5</v>
      </c>
      <c r="E19" s="7">
        <f>D19*D1/1000</f>
        <v>0</v>
      </c>
      <c r="F19" s="77" t="s">
        <v>24</v>
      </c>
      <c r="G19" s="221"/>
      <c r="H19" s="221"/>
      <c r="I19" s="221"/>
      <c r="J19" s="221"/>
      <c r="K19" s="221"/>
    </row>
    <row r="20" spans="1:11">
      <c r="A20" s="434"/>
      <c r="B20" s="463"/>
      <c r="C20" s="14" t="s">
        <v>32</v>
      </c>
      <c r="D20" s="31">
        <v>0.5</v>
      </c>
      <c r="E20" s="7">
        <f>D20*D1/1000</f>
        <v>0</v>
      </c>
      <c r="F20" s="77" t="s">
        <v>24</v>
      </c>
      <c r="G20" s="221"/>
      <c r="H20" s="221"/>
      <c r="I20" s="221"/>
      <c r="J20" s="221"/>
      <c r="K20" s="221"/>
    </row>
    <row r="21" spans="1:11">
      <c r="A21" s="434"/>
      <c r="B21" s="463"/>
      <c r="C21" s="14" t="s">
        <v>36</v>
      </c>
      <c r="D21" s="31">
        <v>3</v>
      </c>
      <c r="E21" s="7">
        <f>D21*D1/1000</f>
        <v>0</v>
      </c>
      <c r="F21" s="77" t="s">
        <v>24</v>
      </c>
      <c r="G21" s="221"/>
      <c r="H21" s="221"/>
      <c r="I21" s="221"/>
      <c r="J21" s="221"/>
      <c r="K21" s="221"/>
    </row>
    <row r="22" spans="1:11">
      <c r="A22" s="434"/>
      <c r="B22" s="463"/>
      <c r="C22" s="14" t="s">
        <v>213</v>
      </c>
      <c r="D22" s="31">
        <v>20</v>
      </c>
      <c r="E22" s="7">
        <f>D22*D1/1000</f>
        <v>0</v>
      </c>
      <c r="F22" s="75" t="s">
        <v>81</v>
      </c>
      <c r="G22" s="221">
        <v>0.2</v>
      </c>
      <c r="H22" s="221">
        <f>1*G22</f>
        <v>0.2</v>
      </c>
      <c r="I22" s="221">
        <f>G22*5</f>
        <v>1</v>
      </c>
      <c r="J22" s="221">
        <f>0</f>
        <v>0</v>
      </c>
      <c r="K22" s="221">
        <f t="shared" ref="K22:K26" si="1">H22*4+I22*4+J22*9</f>
        <v>4.8</v>
      </c>
    </row>
    <row r="23" spans="1:11">
      <c r="A23" s="434"/>
      <c r="B23" s="464"/>
      <c r="C23" s="14" t="s">
        <v>61</v>
      </c>
      <c r="D23" s="31">
        <v>2</v>
      </c>
      <c r="E23" s="7">
        <f>D23*D1/1000</f>
        <v>0</v>
      </c>
      <c r="F23" s="75" t="s">
        <v>110</v>
      </c>
      <c r="G23" s="229">
        <f>D23/5</f>
        <v>0.4</v>
      </c>
      <c r="H23" s="229">
        <f>0</f>
        <v>0</v>
      </c>
      <c r="I23" s="229">
        <f>G23*0</f>
        <v>0</v>
      </c>
      <c r="J23" s="229">
        <f>G23*5</f>
        <v>2</v>
      </c>
      <c r="K23" s="221">
        <f t="shared" si="1"/>
        <v>18</v>
      </c>
    </row>
    <row r="24" spans="1:11">
      <c r="A24" s="434"/>
      <c r="B24" s="465" t="s">
        <v>680</v>
      </c>
      <c r="C24" s="14" t="s">
        <v>680</v>
      </c>
      <c r="D24" s="31">
        <v>30</v>
      </c>
      <c r="E24" s="8">
        <f>D24*D1/1000</f>
        <v>0</v>
      </c>
      <c r="F24" s="75" t="s">
        <v>81</v>
      </c>
      <c r="G24" s="221">
        <v>0.3</v>
      </c>
      <c r="H24" s="221">
        <f>1*G24</f>
        <v>0.3</v>
      </c>
      <c r="I24" s="221">
        <f>G24*5</f>
        <v>1.5</v>
      </c>
      <c r="J24" s="221">
        <f>0</f>
        <v>0</v>
      </c>
      <c r="K24" s="221">
        <f t="shared" si="1"/>
        <v>7.2</v>
      </c>
    </row>
    <row r="25" spans="1:11">
      <c r="A25" s="434"/>
      <c r="B25" s="463"/>
      <c r="C25" s="14" t="s">
        <v>34</v>
      </c>
      <c r="D25" s="31">
        <v>0.5</v>
      </c>
      <c r="E25" s="7">
        <f>D25*D1/1000</f>
        <v>0</v>
      </c>
      <c r="F25" s="75" t="s">
        <v>81</v>
      </c>
      <c r="G25" s="221"/>
      <c r="H25" s="221"/>
      <c r="I25" s="221"/>
      <c r="J25" s="221"/>
      <c r="K25" s="221"/>
    </row>
    <row r="26" spans="1:11">
      <c r="A26" s="434"/>
      <c r="B26" s="463"/>
      <c r="C26" s="14" t="s">
        <v>61</v>
      </c>
      <c r="D26" s="31">
        <v>2</v>
      </c>
      <c r="E26" s="7">
        <f>D26*D1/1000</f>
        <v>0</v>
      </c>
      <c r="F26" s="75" t="s">
        <v>110</v>
      </c>
      <c r="G26" s="229">
        <f>D26/5</f>
        <v>0.4</v>
      </c>
      <c r="H26" s="229">
        <f>0</f>
        <v>0</v>
      </c>
      <c r="I26" s="229">
        <f>G26*0</f>
        <v>0</v>
      </c>
      <c r="J26" s="229">
        <f>G26*5</f>
        <v>2</v>
      </c>
      <c r="K26" s="221">
        <f t="shared" si="1"/>
        <v>18</v>
      </c>
    </row>
    <row r="27" spans="1:11" s="173" customFormat="1">
      <c r="A27" s="434"/>
      <c r="B27" s="440" t="s">
        <v>160</v>
      </c>
      <c r="C27" s="227" t="s">
        <v>96</v>
      </c>
      <c r="D27" s="54">
        <v>10</v>
      </c>
      <c r="E27" s="7">
        <f>D27*D1/1000</f>
        <v>0</v>
      </c>
      <c r="F27" s="46" t="s">
        <v>507</v>
      </c>
      <c r="G27" s="217">
        <f>D27/100</f>
        <v>0.1</v>
      </c>
      <c r="H27" s="223">
        <f>G27*1</f>
        <v>0.1</v>
      </c>
      <c r="I27" s="217">
        <f>G27*5</f>
        <v>0.5</v>
      </c>
      <c r="J27" s="217"/>
      <c r="K27" s="276">
        <f t="shared" ref="K27:K30" si="2">H27*4+I27*9+J27*4</f>
        <v>4.9000000000000004</v>
      </c>
    </row>
    <row r="28" spans="1:11" s="173" customFormat="1">
      <c r="A28" s="434"/>
      <c r="B28" s="434"/>
      <c r="C28" s="227" t="s">
        <v>79</v>
      </c>
      <c r="D28" s="54">
        <v>15</v>
      </c>
      <c r="E28" s="7">
        <f>D28*D1/1000</f>
        <v>0</v>
      </c>
      <c r="F28" s="46" t="s">
        <v>507</v>
      </c>
      <c r="G28" s="217">
        <f>D28/100</f>
        <v>0.15</v>
      </c>
      <c r="H28" s="223">
        <f>G28*1</f>
        <v>0.15</v>
      </c>
      <c r="I28" s="217">
        <f>G28*5</f>
        <v>0.75</v>
      </c>
      <c r="J28" s="217"/>
      <c r="K28" s="276">
        <f t="shared" si="2"/>
        <v>7.35</v>
      </c>
    </row>
    <row r="29" spans="1:11" s="173" customFormat="1">
      <c r="A29" s="434"/>
      <c r="B29" s="434"/>
      <c r="C29" s="227" t="s">
        <v>509</v>
      </c>
      <c r="D29" s="54">
        <v>5</v>
      </c>
      <c r="E29" s="7">
        <f>D29*D1/1000</f>
        <v>0</v>
      </c>
      <c r="F29" s="46" t="s">
        <v>507</v>
      </c>
      <c r="G29" s="217">
        <f>D29/100</f>
        <v>0.05</v>
      </c>
      <c r="H29" s="223">
        <f>G29*1</f>
        <v>0.05</v>
      </c>
      <c r="I29" s="217">
        <f>G29*5</f>
        <v>0.25</v>
      </c>
      <c r="J29" s="217"/>
      <c r="K29" s="276">
        <f t="shared" ref="K29" si="3">H29*4+I29*9+J29*4</f>
        <v>2.4500000000000002</v>
      </c>
    </row>
    <row r="30" spans="1:11" s="173" customFormat="1">
      <c r="A30" s="435"/>
      <c r="B30" s="435"/>
      <c r="C30" s="216" t="s">
        <v>508</v>
      </c>
      <c r="D30" s="46">
        <v>10</v>
      </c>
      <c r="E30" s="7">
        <f>D30*D1/1000</f>
        <v>0</v>
      </c>
      <c r="F30" s="46" t="s">
        <v>112</v>
      </c>
      <c r="G30" s="217">
        <v>0.2</v>
      </c>
      <c r="H30" s="223">
        <f>G30*7</f>
        <v>1.4000000000000001</v>
      </c>
      <c r="I30" s="217"/>
      <c r="J30" s="217">
        <f>G30*3</f>
        <v>0.60000000000000009</v>
      </c>
      <c r="K30" s="276">
        <f t="shared" si="2"/>
        <v>8</v>
      </c>
    </row>
    <row r="31" spans="1:11">
      <c r="A31" s="440" t="s">
        <v>2</v>
      </c>
      <c r="B31" s="447" t="s">
        <v>245</v>
      </c>
      <c r="C31" s="469" t="s">
        <v>245</v>
      </c>
      <c r="D31" s="471" t="s">
        <v>246</v>
      </c>
      <c r="E31" s="473"/>
      <c r="F31" s="175" t="s">
        <v>112</v>
      </c>
      <c r="G31" s="221">
        <v>0.25</v>
      </c>
      <c r="H31" s="221">
        <v>1.75</v>
      </c>
      <c r="I31" s="221"/>
      <c r="J31" s="221">
        <v>1.5</v>
      </c>
      <c r="K31" s="221">
        <v>18.75</v>
      </c>
    </row>
    <row r="32" spans="1:11">
      <c r="A32" s="434"/>
      <c r="B32" s="447"/>
      <c r="C32" s="470"/>
      <c r="D32" s="472"/>
      <c r="E32" s="474"/>
      <c r="F32" s="175" t="s">
        <v>88</v>
      </c>
      <c r="G32" s="221">
        <v>0</v>
      </c>
      <c r="H32" s="221">
        <v>1</v>
      </c>
      <c r="I32" s="221">
        <v>7.5</v>
      </c>
      <c r="J32" s="221">
        <v>0</v>
      </c>
      <c r="K32" s="221">
        <v>35</v>
      </c>
    </row>
    <row r="33" spans="1:11">
      <c r="A33" s="434"/>
      <c r="B33" s="174" t="s">
        <v>141</v>
      </c>
      <c r="C33" s="29" t="s">
        <v>141</v>
      </c>
      <c r="D33" s="9" t="s">
        <v>40</v>
      </c>
      <c r="E33" s="7"/>
      <c r="F33" s="175" t="s">
        <v>75</v>
      </c>
      <c r="G33" s="221">
        <v>1</v>
      </c>
      <c r="H33" s="221">
        <f>G33*8</f>
        <v>8</v>
      </c>
      <c r="I33" s="221">
        <f>G33*12+5</f>
        <v>17</v>
      </c>
      <c r="J33" s="221">
        <f>G33*8</f>
        <v>8</v>
      </c>
      <c r="K33" s="221">
        <f t="shared" ref="K33:K35" si="4">H33*4+I33*4+J33*9</f>
        <v>172</v>
      </c>
    </row>
    <row r="34" spans="1:11" s="342" customFormat="1">
      <c r="A34" s="435"/>
      <c r="B34" s="343" t="s">
        <v>631</v>
      </c>
      <c r="C34" s="212" t="s">
        <v>632</v>
      </c>
      <c r="D34" s="213"/>
      <c r="E34" s="214"/>
      <c r="F34" s="344" t="s">
        <v>498</v>
      </c>
      <c r="G34" s="275">
        <v>1</v>
      </c>
      <c r="H34" s="215"/>
      <c r="I34" s="275">
        <f>+G34*15</f>
        <v>15</v>
      </c>
      <c r="J34" s="228"/>
      <c r="K34" s="260">
        <f>H34*4+I34*4+J34*9</f>
        <v>60</v>
      </c>
    </row>
    <row r="35" spans="1:11" ht="19.5">
      <c r="A35" s="475" t="s">
        <v>499</v>
      </c>
      <c r="B35" s="475"/>
      <c r="C35" s="74"/>
      <c r="D35" s="74"/>
      <c r="E35" s="74"/>
      <c r="F35" s="107"/>
      <c r="G35" s="107"/>
      <c r="H35" s="222">
        <f>SUM(H3:H33)</f>
        <v>29.005555555555556</v>
      </c>
      <c r="I35" s="222">
        <f>SUM(I3:I34)</f>
        <v>96.166666666666657</v>
      </c>
      <c r="J35" s="222">
        <f>SUM(J3:J33)</f>
        <v>22.528571428571425</v>
      </c>
      <c r="K35" s="222">
        <f t="shared" si="4"/>
        <v>703.44603174603162</v>
      </c>
    </row>
    <row r="36" spans="1:11" ht="19.5">
      <c r="A36" s="461" t="s">
        <v>537</v>
      </c>
      <c r="B36" s="462"/>
      <c r="C36" s="261"/>
      <c r="D36" s="261"/>
      <c r="E36" s="261"/>
      <c r="F36" s="262"/>
      <c r="G36" s="262"/>
      <c r="H36" s="258">
        <f>+H35*4/K35</f>
        <v>0.1649340773651706</v>
      </c>
      <c r="I36" s="257">
        <f>+I35*4/K35</f>
        <v>0.54683180984315316</v>
      </c>
      <c r="J36" s="257">
        <f>+J35*9/K35</f>
        <v>0.28823411279167632</v>
      </c>
      <c r="K36" s="257">
        <f>+H36+I36+J36</f>
        <v>1</v>
      </c>
    </row>
  </sheetData>
  <mergeCells count="16">
    <mergeCell ref="A31:A34"/>
    <mergeCell ref="A36:B36"/>
    <mergeCell ref="F1:K1"/>
    <mergeCell ref="B18:B23"/>
    <mergeCell ref="B24:B26"/>
    <mergeCell ref="B31:B32"/>
    <mergeCell ref="A1:B1"/>
    <mergeCell ref="B12:B17"/>
    <mergeCell ref="C31:C32"/>
    <mergeCell ref="D31:D32"/>
    <mergeCell ref="E31:E32"/>
    <mergeCell ref="A35:B35"/>
    <mergeCell ref="A3:A10"/>
    <mergeCell ref="A11:A30"/>
    <mergeCell ref="B27:B30"/>
    <mergeCell ref="B3:B10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="70" zoomScaleNormal="70" workbookViewId="0">
      <selection activeCell="C20" sqref="C20"/>
    </sheetView>
  </sheetViews>
  <sheetFormatPr defaultColWidth="9" defaultRowHeight="16.5"/>
  <cols>
    <col min="1" max="1" width="5.5" style="5" customWidth="1"/>
    <col min="2" max="2" width="15.75" style="11" customWidth="1"/>
    <col min="3" max="3" width="12.25" style="30" customWidth="1"/>
    <col min="4" max="4" width="6.375" style="11" customWidth="1"/>
    <col min="5" max="5" width="8.875" style="5" customWidth="1"/>
    <col min="6" max="6" width="5.5" style="91" customWidth="1"/>
    <col min="7" max="7" width="6.625" style="91" customWidth="1"/>
    <col min="8" max="8" width="8.875" style="91" customWidth="1"/>
    <col min="9" max="9" width="9" style="91"/>
    <col min="10" max="10" width="6" style="91" customWidth="1"/>
    <col min="11" max="11" width="8.375" style="91" customWidth="1"/>
    <col min="12" max="16384" width="9" style="173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 s="26" customFormat="1">
      <c r="A2" s="45" t="s">
        <v>327</v>
      </c>
      <c r="B2" s="28" t="s">
        <v>17</v>
      </c>
      <c r="C2" s="24" t="s">
        <v>18</v>
      </c>
      <c r="D2" s="25" t="s">
        <v>20</v>
      </c>
      <c r="E2" s="28" t="s">
        <v>131</v>
      </c>
      <c r="F2" s="82" t="s">
        <v>130</v>
      </c>
      <c r="G2" s="82" t="s">
        <v>132</v>
      </c>
      <c r="H2" s="82" t="s">
        <v>133</v>
      </c>
      <c r="I2" s="175" t="s">
        <v>134</v>
      </c>
      <c r="J2" s="175" t="s">
        <v>135</v>
      </c>
      <c r="K2" s="175" t="s">
        <v>126</v>
      </c>
    </row>
    <row r="3" spans="1:11">
      <c r="A3" s="438" t="s">
        <v>0</v>
      </c>
      <c r="B3" s="482" t="s">
        <v>236</v>
      </c>
      <c r="C3" s="53" t="s">
        <v>281</v>
      </c>
      <c r="D3" s="54" t="s">
        <v>282</v>
      </c>
      <c r="E3" s="7"/>
      <c r="F3" s="82" t="s">
        <v>88</v>
      </c>
      <c r="G3" s="230">
        <v>0.5</v>
      </c>
      <c r="H3" s="221">
        <f>G3*2</f>
        <v>1</v>
      </c>
      <c r="I3" s="221">
        <f>G3*15</f>
        <v>7.5</v>
      </c>
      <c r="J3" s="221">
        <v>0</v>
      </c>
      <c r="K3" s="221">
        <f>H3*4+I3*4+J3*9</f>
        <v>34</v>
      </c>
    </row>
    <row r="4" spans="1:11">
      <c r="A4" s="439"/>
      <c r="B4" s="482"/>
      <c r="C4" s="57" t="s">
        <v>283</v>
      </c>
      <c r="D4" s="31">
        <v>5</v>
      </c>
      <c r="E4" s="7">
        <f>D4*D1/1000</f>
        <v>0</v>
      </c>
      <c r="F4" s="106" t="s">
        <v>24</v>
      </c>
      <c r="G4" s="230"/>
      <c r="H4" s="230"/>
      <c r="I4" s="221"/>
      <c r="J4" s="221"/>
      <c r="K4" s="221">
        <f t="shared" ref="K4:K8" si="0">H4*4+I4*4+J4*9</f>
        <v>0</v>
      </c>
    </row>
    <row r="5" spans="1:11">
      <c r="A5" s="439"/>
      <c r="B5" s="482"/>
      <c r="C5" s="53" t="s">
        <v>284</v>
      </c>
      <c r="D5" s="67">
        <v>5</v>
      </c>
      <c r="E5" s="7">
        <f>D5*D1/1000</f>
        <v>0</v>
      </c>
      <c r="F5" s="162" t="s">
        <v>24</v>
      </c>
      <c r="G5" s="230"/>
      <c r="H5" s="230"/>
      <c r="I5" s="221"/>
      <c r="J5" s="221"/>
      <c r="K5" s="221">
        <f t="shared" si="0"/>
        <v>0</v>
      </c>
    </row>
    <row r="6" spans="1:11">
      <c r="A6" s="439"/>
      <c r="B6" s="441" t="s">
        <v>510</v>
      </c>
      <c r="C6" s="57" t="s">
        <v>285</v>
      </c>
      <c r="D6" s="31">
        <v>2</v>
      </c>
      <c r="E6" s="7">
        <f>D6*D1/1000</f>
        <v>0</v>
      </c>
      <c r="F6" s="76" t="s">
        <v>286</v>
      </c>
      <c r="G6" s="230"/>
      <c r="H6" s="230"/>
      <c r="I6" s="221"/>
      <c r="J6" s="221"/>
      <c r="K6" s="221">
        <f t="shared" si="0"/>
        <v>0</v>
      </c>
    </row>
    <row r="7" spans="1:11">
      <c r="A7" s="439"/>
      <c r="B7" s="483"/>
      <c r="C7" s="53" t="s">
        <v>287</v>
      </c>
      <c r="D7" s="67">
        <v>25</v>
      </c>
      <c r="E7" s="7">
        <f>D7*D1/1000</f>
        <v>0</v>
      </c>
      <c r="F7" s="82" t="s">
        <v>75</v>
      </c>
      <c r="G7" s="230">
        <v>1</v>
      </c>
      <c r="H7" s="230">
        <v>8</v>
      </c>
      <c r="I7" s="221">
        <v>12</v>
      </c>
      <c r="J7" s="221">
        <v>4</v>
      </c>
      <c r="K7" s="221">
        <f t="shared" si="0"/>
        <v>116</v>
      </c>
    </row>
    <row r="8" spans="1:11">
      <c r="A8" s="439"/>
      <c r="B8" s="483"/>
      <c r="C8" s="57" t="s">
        <v>288</v>
      </c>
      <c r="D8" s="31">
        <v>5</v>
      </c>
      <c r="E8" s="8">
        <f>D8*D1/1000</f>
        <v>0</v>
      </c>
      <c r="F8" s="106" t="s">
        <v>24</v>
      </c>
      <c r="G8" s="225"/>
      <c r="H8" s="221"/>
      <c r="I8" s="221">
        <f>D8</f>
        <v>5</v>
      </c>
      <c r="J8" s="221"/>
      <c r="K8" s="221">
        <f t="shared" si="0"/>
        <v>20</v>
      </c>
    </row>
    <row r="9" spans="1:11">
      <c r="A9" s="440" t="s">
        <v>1</v>
      </c>
      <c r="B9" s="440" t="s">
        <v>484</v>
      </c>
      <c r="C9" s="27" t="s">
        <v>26</v>
      </c>
      <c r="D9" s="10">
        <v>5</v>
      </c>
      <c r="E9" s="7">
        <f>D9*D1/1000</f>
        <v>0</v>
      </c>
      <c r="F9" s="175" t="s">
        <v>88</v>
      </c>
      <c r="G9" s="479">
        <v>2</v>
      </c>
      <c r="H9" s="479">
        <f>G9*2</f>
        <v>4</v>
      </c>
      <c r="I9" s="479">
        <f>G9*15</f>
        <v>30</v>
      </c>
      <c r="J9" s="479">
        <v>0</v>
      </c>
      <c r="K9" s="479">
        <f>H9*4+I9*4+J9*9</f>
        <v>136</v>
      </c>
    </row>
    <row r="10" spans="1:11">
      <c r="A10" s="434"/>
      <c r="B10" s="478"/>
      <c r="C10" s="29" t="s">
        <v>28</v>
      </c>
      <c r="D10" s="10">
        <v>35</v>
      </c>
      <c r="E10" s="7">
        <f>D10*D1/1000</f>
        <v>0</v>
      </c>
      <c r="F10" s="175" t="s">
        <v>88</v>
      </c>
      <c r="G10" s="480"/>
      <c r="H10" s="480"/>
      <c r="I10" s="480"/>
      <c r="J10" s="480"/>
      <c r="K10" s="480"/>
    </row>
    <row r="11" spans="1:11">
      <c r="A11" s="434"/>
      <c r="B11" s="476" t="s">
        <v>13</v>
      </c>
      <c r="C11" s="13" t="s">
        <v>184</v>
      </c>
      <c r="D11" s="176">
        <v>55</v>
      </c>
      <c r="E11" s="8">
        <f>D11*D1/1000</f>
        <v>0</v>
      </c>
      <c r="F11" s="76" t="s">
        <v>112</v>
      </c>
      <c r="G11" s="225">
        <f>D11/55</f>
        <v>1</v>
      </c>
      <c r="H11" s="221">
        <f>G11*7</f>
        <v>7</v>
      </c>
      <c r="I11" s="221">
        <f>G11*0</f>
        <v>0</v>
      </c>
      <c r="J11" s="221">
        <f>G11*5</f>
        <v>5</v>
      </c>
      <c r="K11" s="221">
        <f t="shared" ref="K11:K19" si="1">H11*4+I11*4+J11*9</f>
        <v>73</v>
      </c>
    </row>
    <row r="12" spans="1:11">
      <c r="A12" s="434"/>
      <c r="B12" s="477"/>
      <c r="C12" s="29" t="s">
        <v>137</v>
      </c>
      <c r="D12" s="176">
        <v>15</v>
      </c>
      <c r="E12" s="7">
        <f>D12*D1/1000</f>
        <v>0</v>
      </c>
      <c r="F12" s="77" t="s">
        <v>24</v>
      </c>
      <c r="G12" s="251"/>
      <c r="H12" s="221"/>
      <c r="I12" s="221"/>
      <c r="J12" s="221"/>
      <c r="K12" s="221">
        <f t="shared" si="1"/>
        <v>0</v>
      </c>
    </row>
    <row r="13" spans="1:11">
      <c r="A13" s="434"/>
      <c r="B13" s="477"/>
      <c r="C13" s="29" t="s">
        <v>33</v>
      </c>
      <c r="D13" s="176">
        <v>0.5</v>
      </c>
      <c r="E13" s="7">
        <f>D13*D1/1000</f>
        <v>0</v>
      </c>
      <c r="F13" s="78" t="s">
        <v>81</v>
      </c>
      <c r="G13" s="221">
        <v>5.0000000000000001E-3</v>
      </c>
      <c r="H13" s="221">
        <f>1*G13</f>
        <v>5.0000000000000001E-3</v>
      </c>
      <c r="I13" s="221">
        <f>G13*5</f>
        <v>2.5000000000000001E-2</v>
      </c>
      <c r="J13" s="221">
        <f>0</f>
        <v>0</v>
      </c>
      <c r="K13" s="221">
        <f t="shared" si="1"/>
        <v>0.12000000000000001</v>
      </c>
    </row>
    <row r="14" spans="1:11">
      <c r="A14" s="434"/>
      <c r="B14" s="478"/>
      <c r="C14" s="29" t="s">
        <v>61</v>
      </c>
      <c r="D14" s="176">
        <v>2</v>
      </c>
      <c r="E14" s="7">
        <f>D14*D1/1000</f>
        <v>0</v>
      </c>
      <c r="F14" s="175" t="s">
        <v>110</v>
      </c>
      <c r="G14" s="229">
        <f>D14/5</f>
        <v>0.4</v>
      </c>
      <c r="H14" s="229">
        <f>0</f>
        <v>0</v>
      </c>
      <c r="I14" s="229">
        <f>G14*0</f>
        <v>0</v>
      </c>
      <c r="J14" s="229">
        <f>G14*5</f>
        <v>2</v>
      </c>
      <c r="K14" s="221">
        <f t="shared" ref="K14" si="2">H14*4+I14*4+J14*9</f>
        <v>18</v>
      </c>
    </row>
    <row r="15" spans="1:11">
      <c r="A15" s="434"/>
      <c r="B15" s="476" t="s">
        <v>138</v>
      </c>
      <c r="C15" s="29" t="s">
        <v>29</v>
      </c>
      <c r="D15" s="176">
        <v>50</v>
      </c>
      <c r="E15" s="7">
        <f>D15*D1/1000</f>
        <v>0</v>
      </c>
      <c r="F15" s="76" t="s">
        <v>88</v>
      </c>
      <c r="G15" s="225">
        <f>D15/90</f>
        <v>0.55555555555555558</v>
      </c>
      <c r="H15" s="221">
        <f>G15*2</f>
        <v>1.1111111111111112</v>
      </c>
      <c r="I15" s="221">
        <f>G15*15</f>
        <v>8.3333333333333339</v>
      </c>
      <c r="J15" s="221">
        <f>G15*0</f>
        <v>0</v>
      </c>
      <c r="K15" s="221">
        <f t="shared" si="1"/>
        <v>37.777777777777779</v>
      </c>
    </row>
    <row r="16" spans="1:11">
      <c r="A16" s="434"/>
      <c r="B16" s="477"/>
      <c r="C16" s="29" t="s">
        <v>30</v>
      </c>
      <c r="D16" s="176">
        <v>8</v>
      </c>
      <c r="E16" s="8">
        <f>D16*D1/1000</f>
        <v>0</v>
      </c>
      <c r="F16" s="175" t="s">
        <v>112</v>
      </c>
      <c r="G16" s="221">
        <f>D16/30</f>
        <v>0.26666666666666666</v>
      </c>
      <c r="H16" s="221">
        <f>G16*7</f>
        <v>1.8666666666666667</v>
      </c>
      <c r="I16" s="221">
        <f>G16*0</f>
        <v>0</v>
      </c>
      <c r="J16" s="221">
        <f>G16*3</f>
        <v>0.8</v>
      </c>
      <c r="K16" s="221">
        <f t="shared" si="1"/>
        <v>14.666666666666668</v>
      </c>
    </row>
    <row r="17" spans="1:12">
      <c r="A17" s="434"/>
      <c r="B17" s="477"/>
      <c r="C17" s="29" t="s">
        <v>31</v>
      </c>
      <c r="D17" s="176">
        <v>2</v>
      </c>
      <c r="E17" s="7">
        <f>D17*D1/1000</f>
        <v>0</v>
      </c>
      <c r="F17" s="175" t="s">
        <v>81</v>
      </c>
      <c r="G17" s="221">
        <v>0.02</v>
      </c>
      <c r="H17" s="221">
        <f>1*G17</f>
        <v>0.02</v>
      </c>
      <c r="I17" s="221">
        <f>G17*5</f>
        <v>0.1</v>
      </c>
      <c r="J17" s="221">
        <f>0</f>
        <v>0</v>
      </c>
      <c r="K17" s="221">
        <f>0</f>
        <v>0</v>
      </c>
    </row>
    <row r="18" spans="1:12">
      <c r="A18" s="434"/>
      <c r="B18" s="477"/>
      <c r="C18" s="29" t="s">
        <v>32</v>
      </c>
      <c r="D18" s="176">
        <v>0.5</v>
      </c>
      <c r="E18" s="7">
        <f>D18*D1/1000</f>
        <v>0</v>
      </c>
      <c r="F18" s="175" t="s">
        <v>81</v>
      </c>
      <c r="G18" s="221">
        <v>5.0000000000000001E-3</v>
      </c>
      <c r="H18" s="221">
        <f>1*G18</f>
        <v>5.0000000000000001E-3</v>
      </c>
      <c r="I18" s="221">
        <f>G18*5</f>
        <v>2.5000000000000001E-2</v>
      </c>
      <c r="J18" s="221">
        <f>0</f>
        <v>0</v>
      </c>
      <c r="K18" s="221">
        <f t="shared" si="1"/>
        <v>0.12000000000000001</v>
      </c>
    </row>
    <row r="19" spans="1:12">
      <c r="A19" s="434"/>
      <c r="B19" s="478"/>
      <c r="C19" s="29" t="s">
        <v>61</v>
      </c>
      <c r="D19" s="176">
        <v>5</v>
      </c>
      <c r="E19" s="7">
        <f>D19*D1/1000</f>
        <v>0</v>
      </c>
      <c r="F19" s="175" t="s">
        <v>110</v>
      </c>
      <c r="G19" s="229">
        <f>D19/5</f>
        <v>1</v>
      </c>
      <c r="H19" s="229">
        <f>0</f>
        <v>0</v>
      </c>
      <c r="I19" s="229">
        <f>G19*0</f>
        <v>0</v>
      </c>
      <c r="J19" s="229">
        <f>G19*5</f>
        <v>5</v>
      </c>
      <c r="K19" s="221">
        <f t="shared" si="1"/>
        <v>45</v>
      </c>
    </row>
    <row r="20" spans="1:12">
      <c r="A20" s="434"/>
      <c r="B20" s="476" t="s">
        <v>688</v>
      </c>
      <c r="C20" s="29" t="s">
        <v>689</v>
      </c>
      <c r="D20" s="176">
        <v>40</v>
      </c>
      <c r="E20" s="7">
        <f>D20*D1/1000</f>
        <v>0</v>
      </c>
      <c r="F20" s="175" t="s">
        <v>81</v>
      </c>
      <c r="G20" s="221">
        <v>0.4</v>
      </c>
      <c r="H20" s="221">
        <f>1*G20</f>
        <v>0.4</v>
      </c>
      <c r="I20" s="221">
        <f>G20*5</f>
        <v>2</v>
      </c>
      <c r="J20" s="221">
        <f>0</f>
        <v>0</v>
      </c>
      <c r="K20" s="221">
        <f>H20*4+I20*4+J20*9</f>
        <v>9.6</v>
      </c>
    </row>
    <row r="21" spans="1:12">
      <c r="A21" s="434"/>
      <c r="B21" s="477"/>
      <c r="C21" s="29" t="s">
        <v>34</v>
      </c>
      <c r="D21" s="176">
        <v>0.5</v>
      </c>
      <c r="E21" s="8">
        <f>D21*D1/1000</f>
        <v>0</v>
      </c>
      <c r="F21" s="77" t="s">
        <v>24</v>
      </c>
      <c r="G21" s="221"/>
      <c r="H21" s="221"/>
      <c r="I21" s="221"/>
      <c r="J21" s="221"/>
      <c r="K21" s="221"/>
    </row>
    <row r="22" spans="1:12">
      <c r="A22" s="434"/>
      <c r="B22" s="478"/>
      <c r="C22" s="29" t="s">
        <v>61</v>
      </c>
      <c r="D22" s="176">
        <v>3</v>
      </c>
      <c r="E22" s="7">
        <f>D22*D1/1000</f>
        <v>0</v>
      </c>
      <c r="F22" s="175" t="s">
        <v>110</v>
      </c>
      <c r="G22" s="229">
        <f>D22/5</f>
        <v>0.6</v>
      </c>
      <c r="H22" s="229">
        <f>0</f>
        <v>0</v>
      </c>
      <c r="I22" s="229">
        <f>G22*0</f>
        <v>0</v>
      </c>
      <c r="J22" s="229">
        <f>G22*5</f>
        <v>3</v>
      </c>
      <c r="K22" s="221">
        <f>H22*4+I22*4+J22*9</f>
        <v>27</v>
      </c>
    </row>
    <row r="23" spans="1:12">
      <c r="A23" s="434"/>
      <c r="B23" s="481" t="s">
        <v>139</v>
      </c>
      <c r="C23" s="29" t="s">
        <v>140</v>
      </c>
      <c r="D23" s="176">
        <v>8</v>
      </c>
      <c r="E23" s="7">
        <f>D23*D1/1000</f>
        <v>0</v>
      </c>
      <c r="F23" s="175" t="s">
        <v>81</v>
      </c>
      <c r="G23" s="221">
        <v>0.08</v>
      </c>
      <c r="H23" s="221">
        <f>1*G23</f>
        <v>0.08</v>
      </c>
      <c r="I23" s="221">
        <f>G23*5</f>
        <v>0.4</v>
      </c>
      <c r="J23" s="221">
        <f>0</f>
        <v>0</v>
      </c>
      <c r="K23" s="221">
        <f t="shared" ref="K23:K35" si="3">H23*4+I23*4+J23*9</f>
        <v>1.9200000000000002</v>
      </c>
    </row>
    <row r="24" spans="1:12">
      <c r="A24" s="434"/>
      <c r="B24" s="481"/>
      <c r="C24" s="29" t="s">
        <v>107</v>
      </c>
      <c r="D24" s="176">
        <v>5</v>
      </c>
      <c r="E24" s="7">
        <f>D24*D1/1000</f>
        <v>0</v>
      </c>
      <c r="F24" s="175" t="s">
        <v>112</v>
      </c>
      <c r="G24" s="221">
        <f>D24/35</f>
        <v>0.14285714285714285</v>
      </c>
      <c r="H24" s="221">
        <f>G24*7</f>
        <v>1</v>
      </c>
      <c r="I24" s="221">
        <f>G24*0</f>
        <v>0</v>
      </c>
      <c r="J24" s="221">
        <f>G24*5</f>
        <v>0.71428571428571419</v>
      </c>
      <c r="K24" s="221">
        <f t="shared" si="3"/>
        <v>10.428571428571427</v>
      </c>
    </row>
    <row r="25" spans="1:12">
      <c r="A25" s="434"/>
      <c r="B25" s="481"/>
      <c r="C25" s="29" t="s">
        <v>35</v>
      </c>
      <c r="D25" s="176">
        <v>0.5</v>
      </c>
      <c r="E25" s="8">
        <f>D25*D1/1000</f>
        <v>0</v>
      </c>
      <c r="F25" s="77" t="s">
        <v>24</v>
      </c>
      <c r="G25" s="221"/>
      <c r="H25" s="221"/>
      <c r="I25" s="221"/>
      <c r="J25" s="221"/>
      <c r="K25" s="221"/>
    </row>
    <row r="26" spans="1:12">
      <c r="A26" s="434"/>
      <c r="B26" s="481"/>
      <c r="C26" s="29" t="s">
        <v>36</v>
      </c>
      <c r="D26" s="176">
        <v>1.5</v>
      </c>
      <c r="E26" s="7">
        <f>D26*D1/1000</f>
        <v>0</v>
      </c>
      <c r="F26" s="77" t="s">
        <v>24</v>
      </c>
      <c r="G26" s="221"/>
      <c r="H26" s="221"/>
      <c r="I26" s="221"/>
      <c r="J26" s="221"/>
      <c r="K26" s="221"/>
    </row>
    <row r="27" spans="1:12">
      <c r="A27" s="434"/>
      <c r="B27" s="481"/>
      <c r="C27" s="29" t="s">
        <v>37</v>
      </c>
      <c r="D27" s="176">
        <v>0.3</v>
      </c>
      <c r="E27" s="7">
        <f>D27*D1/1000</f>
        <v>0</v>
      </c>
      <c r="F27" s="77" t="s">
        <v>24</v>
      </c>
      <c r="G27" s="221"/>
      <c r="H27" s="221"/>
      <c r="I27" s="221"/>
      <c r="J27" s="221"/>
      <c r="K27" s="221"/>
    </row>
    <row r="28" spans="1:12">
      <c r="A28" s="434"/>
      <c r="B28" s="481"/>
      <c r="C28" s="29" t="s">
        <v>38</v>
      </c>
      <c r="D28" s="176">
        <v>2</v>
      </c>
      <c r="E28" s="8">
        <f>D28*D1/1000</f>
        <v>0</v>
      </c>
      <c r="F28" s="77" t="s">
        <v>24</v>
      </c>
      <c r="G28" s="221"/>
      <c r="H28" s="221"/>
      <c r="I28" s="221"/>
      <c r="J28" s="221"/>
      <c r="K28" s="221"/>
    </row>
    <row r="29" spans="1:12">
      <c r="A29" s="435"/>
      <c r="B29" s="481"/>
      <c r="C29" s="29" t="s">
        <v>39</v>
      </c>
      <c r="D29" s="176">
        <v>4</v>
      </c>
      <c r="E29" s="7">
        <f>D29*D1/1000</f>
        <v>0</v>
      </c>
      <c r="F29" s="77" t="s">
        <v>24</v>
      </c>
      <c r="G29" s="221">
        <f>D29/20</f>
        <v>0.2</v>
      </c>
      <c r="H29" s="221">
        <f>G29*2</f>
        <v>0.4</v>
      </c>
      <c r="I29" s="221">
        <f>G29*15</f>
        <v>3</v>
      </c>
      <c r="J29" s="221"/>
      <c r="K29" s="221">
        <f t="shared" si="3"/>
        <v>13.6</v>
      </c>
    </row>
    <row r="30" spans="1:12">
      <c r="A30" s="440" t="s">
        <v>2</v>
      </c>
      <c r="B30" s="440" t="s">
        <v>295</v>
      </c>
      <c r="C30" s="14" t="s">
        <v>296</v>
      </c>
      <c r="D30" s="9">
        <v>8</v>
      </c>
      <c r="E30" s="7">
        <f>D30*D1/1000</f>
        <v>0</v>
      </c>
      <c r="F30" s="175" t="s">
        <v>112</v>
      </c>
      <c r="G30" s="221">
        <f>D30/35</f>
        <v>0.22857142857142856</v>
      </c>
      <c r="H30" s="221">
        <v>1.75</v>
      </c>
      <c r="I30" s="221">
        <v>0</v>
      </c>
      <c r="J30" s="221">
        <v>1.25</v>
      </c>
      <c r="K30" s="221">
        <f t="shared" ref="K30:K34" si="4">H30*4+I30*4+J30*9</f>
        <v>18.25</v>
      </c>
      <c r="L30" s="228"/>
    </row>
    <row r="31" spans="1:12">
      <c r="A31" s="434"/>
      <c r="B31" s="434"/>
      <c r="C31" s="14" t="s">
        <v>254</v>
      </c>
      <c r="D31" s="58">
        <v>0.3</v>
      </c>
      <c r="E31" s="7">
        <f>D31*D1/1000</f>
        <v>0</v>
      </c>
      <c r="F31" s="77" t="s">
        <v>24</v>
      </c>
      <c r="G31" s="221"/>
      <c r="H31" s="221"/>
      <c r="I31" s="221"/>
      <c r="J31" s="221"/>
      <c r="K31" s="221">
        <f t="shared" si="4"/>
        <v>0</v>
      </c>
    </row>
    <row r="32" spans="1:12">
      <c r="A32" s="434"/>
      <c r="B32" s="434"/>
      <c r="C32" s="14" t="s">
        <v>255</v>
      </c>
      <c r="D32" s="58">
        <v>0.5</v>
      </c>
      <c r="E32" s="7">
        <f>D32*D1/1000</f>
        <v>0</v>
      </c>
      <c r="F32" s="77" t="s">
        <v>24</v>
      </c>
      <c r="G32" s="221"/>
      <c r="H32" s="221"/>
      <c r="I32" s="221"/>
      <c r="J32" s="221"/>
      <c r="K32" s="221">
        <f t="shared" si="4"/>
        <v>0</v>
      </c>
    </row>
    <row r="33" spans="1:11">
      <c r="A33" s="434"/>
      <c r="B33" s="434"/>
      <c r="C33" s="14" t="s">
        <v>22</v>
      </c>
      <c r="D33" s="58">
        <v>1</v>
      </c>
      <c r="E33" s="7">
        <f>D33*D1/1000</f>
        <v>0</v>
      </c>
      <c r="F33" s="77" t="s">
        <v>24</v>
      </c>
      <c r="G33" s="221"/>
      <c r="H33" s="221"/>
      <c r="I33" s="221"/>
      <c r="J33" s="221"/>
      <c r="K33" s="221">
        <f t="shared" si="4"/>
        <v>0</v>
      </c>
    </row>
    <row r="34" spans="1:11">
      <c r="A34" s="434"/>
      <c r="B34" s="435"/>
      <c r="C34" s="14" t="s">
        <v>260</v>
      </c>
      <c r="D34" s="9">
        <v>15</v>
      </c>
      <c r="E34" s="7">
        <f>D34*D1/1000</f>
        <v>0</v>
      </c>
      <c r="F34" s="175" t="s">
        <v>88</v>
      </c>
      <c r="G34" s="221">
        <f>D34/20</f>
        <v>0.75</v>
      </c>
      <c r="H34" s="221">
        <f>G34*2</f>
        <v>1.5</v>
      </c>
      <c r="I34" s="221">
        <f>G34*15</f>
        <v>11.25</v>
      </c>
      <c r="J34" s="221"/>
      <c r="K34" s="221">
        <f t="shared" si="4"/>
        <v>51</v>
      </c>
    </row>
    <row r="35" spans="1:11">
      <c r="A35" s="435"/>
      <c r="B35" s="174" t="s">
        <v>634</v>
      </c>
      <c r="C35" s="29"/>
      <c r="D35" s="176"/>
      <c r="E35" s="8"/>
      <c r="F35" s="175" t="s">
        <v>8</v>
      </c>
      <c r="G35" s="221">
        <v>1</v>
      </c>
      <c r="H35" s="221">
        <f>G35*0</f>
        <v>0</v>
      </c>
      <c r="I35" s="221">
        <f>G35*15</f>
        <v>15</v>
      </c>
      <c r="J35" s="221">
        <f>G35*0</f>
        <v>0</v>
      </c>
      <c r="K35" s="221">
        <f t="shared" si="3"/>
        <v>60</v>
      </c>
    </row>
    <row r="36" spans="1:11" ht="19.5">
      <c r="A36" s="475" t="s">
        <v>499</v>
      </c>
      <c r="B36" s="475"/>
      <c r="C36" s="29"/>
      <c r="D36" s="176"/>
      <c r="E36" s="174"/>
      <c r="F36" s="175"/>
      <c r="G36" s="175"/>
      <c r="H36" s="226">
        <f>SUM(H3:H35)</f>
        <v>28.137777777777771</v>
      </c>
      <c r="I36" s="226">
        <f>SUM(I3:I35)</f>
        <v>94.63333333333334</v>
      </c>
      <c r="J36" s="226">
        <f>SUM(J3:J35)</f>
        <v>21.764285714285716</v>
      </c>
      <c r="K36" s="226">
        <f>SUM(K3:K35)</f>
        <v>686.48301587301592</v>
      </c>
    </row>
    <row r="37" spans="1:11" ht="19.5">
      <c r="A37" s="461" t="s">
        <v>537</v>
      </c>
      <c r="B37" s="462"/>
      <c r="C37" s="261"/>
      <c r="D37" s="261"/>
      <c r="E37" s="261"/>
      <c r="F37" s="262"/>
      <c r="G37" s="262"/>
      <c r="H37" s="258">
        <f>+H36*4/K36</f>
        <v>0.1639532348341893</v>
      </c>
      <c r="I37" s="257">
        <f>+I36*4/K36</f>
        <v>0.55140961186336712</v>
      </c>
      <c r="J37" s="257">
        <f>+J36*9/K36</f>
        <v>0.28533636943583846</v>
      </c>
      <c r="K37" s="257">
        <f>+H37+I37+J37</f>
        <v>1.000699216133395</v>
      </c>
    </row>
  </sheetData>
  <mergeCells count="20">
    <mergeCell ref="A1:B1"/>
    <mergeCell ref="F1:K1"/>
    <mergeCell ref="A3:A8"/>
    <mergeCell ref="A9:A29"/>
    <mergeCell ref="B9:B10"/>
    <mergeCell ref="G9:G10"/>
    <mergeCell ref="H9:H10"/>
    <mergeCell ref="I9:I10"/>
    <mergeCell ref="J9:J10"/>
    <mergeCell ref="K9:K10"/>
    <mergeCell ref="B15:B19"/>
    <mergeCell ref="B20:B22"/>
    <mergeCell ref="B23:B29"/>
    <mergeCell ref="B3:B5"/>
    <mergeCell ref="B6:B8"/>
    <mergeCell ref="B30:B34"/>
    <mergeCell ref="B11:B14"/>
    <mergeCell ref="A37:B37"/>
    <mergeCell ref="A30:A35"/>
    <mergeCell ref="A36:B36"/>
  </mergeCells>
  <phoneticPr fontId="3" type="noConversion"/>
  <pageMargins left="0.75" right="0.75" top="0.45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2" zoomScale="70" zoomScaleNormal="70" workbookViewId="0">
      <selection activeCell="C21" sqref="C21"/>
    </sheetView>
  </sheetViews>
  <sheetFormatPr defaultRowHeight="16.5"/>
  <cols>
    <col min="1" max="1" width="5.5" customWidth="1"/>
    <col min="2" max="3" width="13.5" customWidth="1"/>
    <col min="4" max="4" width="6.375" customWidth="1"/>
    <col min="5" max="5" width="9.375" customWidth="1"/>
    <col min="6" max="6" width="5.5" style="80" customWidth="1"/>
    <col min="7" max="7" width="8.125" style="80" customWidth="1"/>
    <col min="8" max="8" width="10.25" style="80" customWidth="1"/>
    <col min="9" max="9" width="9" style="80"/>
    <col min="10" max="10" width="7.25" style="80" customWidth="1"/>
    <col min="11" max="11" width="8.375" style="80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45" t="s">
        <v>327</v>
      </c>
      <c r="B2" s="43" t="s">
        <v>17</v>
      </c>
      <c r="C2" s="24" t="s">
        <v>18</v>
      </c>
      <c r="D2" s="46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38" t="s">
        <v>0</v>
      </c>
      <c r="B3" s="484" t="s">
        <v>511</v>
      </c>
      <c r="C3" s="69" t="s">
        <v>217</v>
      </c>
      <c r="D3" s="54" t="s">
        <v>46</v>
      </c>
      <c r="E3" s="7"/>
      <c r="F3" s="162" t="s">
        <v>24</v>
      </c>
      <c r="G3" s="82"/>
      <c r="H3" s="82"/>
      <c r="I3" s="75"/>
      <c r="J3" s="75"/>
      <c r="K3" s="75">
        <f>H3*4+I3*4+J3*9</f>
        <v>0</v>
      </c>
    </row>
    <row r="4" spans="1:11">
      <c r="A4" s="439"/>
      <c r="B4" s="485"/>
      <c r="C4" s="53" t="s">
        <v>218</v>
      </c>
      <c r="D4" s="54" t="s">
        <v>46</v>
      </c>
      <c r="E4" s="7"/>
      <c r="F4" s="162" t="s">
        <v>24</v>
      </c>
      <c r="G4" s="82"/>
      <c r="H4" s="82"/>
      <c r="I4" s="75"/>
      <c r="J4" s="75"/>
      <c r="K4" s="75">
        <f t="shared" ref="K4:K33" si="0">H4*4+I4*4+J4*9</f>
        <v>0</v>
      </c>
    </row>
    <row r="5" spans="1:11">
      <c r="A5" s="439"/>
      <c r="B5" s="485"/>
      <c r="C5" s="55" t="s">
        <v>219</v>
      </c>
      <c r="D5" s="17" t="s">
        <v>220</v>
      </c>
      <c r="E5" s="7"/>
      <c r="F5" s="76" t="s">
        <v>88</v>
      </c>
      <c r="G5" s="225">
        <v>1</v>
      </c>
      <c r="H5" s="221">
        <f>G5*2</f>
        <v>2</v>
      </c>
      <c r="I5" s="221">
        <f>G5*15</f>
        <v>15</v>
      </c>
      <c r="J5" s="221">
        <v>0</v>
      </c>
      <c r="K5" s="221">
        <f t="shared" si="0"/>
        <v>68</v>
      </c>
    </row>
    <row r="6" spans="1:11">
      <c r="A6" s="439"/>
      <c r="B6" s="486"/>
      <c r="C6" s="57" t="s">
        <v>221</v>
      </c>
      <c r="D6" s="58">
        <v>10</v>
      </c>
      <c r="E6" s="7">
        <f>D6*D1/1000</f>
        <v>0</v>
      </c>
      <c r="F6" s="77" t="s">
        <v>24</v>
      </c>
      <c r="G6" s="251"/>
      <c r="H6" s="221"/>
      <c r="I6" s="221">
        <f>D6</f>
        <v>10</v>
      </c>
      <c r="J6" s="221"/>
      <c r="K6" s="221">
        <f t="shared" si="0"/>
        <v>40</v>
      </c>
    </row>
    <row r="7" spans="1:11">
      <c r="A7" s="455"/>
      <c r="B7" s="56" t="s">
        <v>222</v>
      </c>
      <c r="C7" s="65" t="s">
        <v>129</v>
      </c>
      <c r="D7" s="58">
        <v>120</v>
      </c>
      <c r="E7" s="8">
        <f>D7*D1/1000</f>
        <v>0</v>
      </c>
      <c r="F7" s="78" t="s">
        <v>75</v>
      </c>
      <c r="G7" s="251">
        <f>D7/240</f>
        <v>0.5</v>
      </c>
      <c r="H7" s="221">
        <f>G7*8</f>
        <v>4</v>
      </c>
      <c r="I7" s="221">
        <f>G7*12</f>
        <v>6</v>
      </c>
      <c r="J7" s="221">
        <f>G7*4</f>
        <v>2</v>
      </c>
      <c r="K7" s="221">
        <f t="shared" si="0"/>
        <v>58</v>
      </c>
    </row>
    <row r="8" spans="1:11">
      <c r="A8" s="440" t="s">
        <v>1</v>
      </c>
      <c r="B8" s="20" t="s">
        <v>154</v>
      </c>
      <c r="C8" s="57" t="s">
        <v>28</v>
      </c>
      <c r="D8" s="58">
        <v>40</v>
      </c>
      <c r="E8" s="7">
        <f>D8*D1/1000</f>
        <v>0</v>
      </c>
      <c r="F8" s="78" t="s">
        <v>88</v>
      </c>
      <c r="G8" s="251">
        <v>2</v>
      </c>
      <c r="H8" s="221">
        <v>4</v>
      </c>
      <c r="I8" s="221">
        <v>30</v>
      </c>
      <c r="J8" s="221">
        <v>0</v>
      </c>
      <c r="K8" s="221">
        <f t="shared" si="0"/>
        <v>136</v>
      </c>
    </row>
    <row r="9" spans="1:11">
      <c r="A9" s="434"/>
      <c r="B9" s="440" t="s">
        <v>518</v>
      </c>
      <c r="C9" s="13" t="s">
        <v>223</v>
      </c>
      <c r="D9" s="47">
        <v>45</v>
      </c>
      <c r="E9" s="7">
        <f>D9*D1/1000</f>
        <v>0</v>
      </c>
      <c r="F9" s="75" t="s">
        <v>88</v>
      </c>
      <c r="G9" s="221">
        <f>D9/90</f>
        <v>0.5</v>
      </c>
      <c r="H9" s="221">
        <f>G9*2</f>
        <v>1</v>
      </c>
      <c r="I9" s="221">
        <f>G9*15</f>
        <v>7.5</v>
      </c>
      <c r="J9" s="221">
        <v>0</v>
      </c>
      <c r="K9" s="221">
        <f t="shared" si="0"/>
        <v>34</v>
      </c>
    </row>
    <row r="10" spans="1:11">
      <c r="A10" s="434"/>
      <c r="B10" s="434"/>
      <c r="C10" s="14" t="s">
        <v>33</v>
      </c>
      <c r="D10" s="47">
        <v>3</v>
      </c>
      <c r="E10" s="7">
        <f>D10*D1/1000</f>
        <v>0</v>
      </c>
      <c r="F10" s="106" t="s">
        <v>24</v>
      </c>
      <c r="G10" s="221"/>
      <c r="H10" s="221"/>
      <c r="I10" s="221"/>
      <c r="J10" s="221"/>
      <c r="K10" s="221">
        <f t="shared" si="0"/>
        <v>0</v>
      </c>
    </row>
    <row r="11" spans="1:11">
      <c r="A11" s="434"/>
      <c r="B11" s="434"/>
      <c r="C11" s="14" t="s">
        <v>280</v>
      </c>
      <c r="D11" s="47">
        <v>1</v>
      </c>
      <c r="E11" s="7">
        <f>D11*D1/1000</f>
        <v>0</v>
      </c>
      <c r="F11" s="77" t="s">
        <v>24</v>
      </c>
      <c r="G11" s="221"/>
      <c r="H11" s="221"/>
      <c r="I11" s="221"/>
      <c r="J11" s="221"/>
      <c r="K11" s="221">
        <f t="shared" si="0"/>
        <v>0</v>
      </c>
    </row>
    <row r="12" spans="1:11">
      <c r="A12" s="434"/>
      <c r="B12" s="434"/>
      <c r="C12" s="14" t="s">
        <v>52</v>
      </c>
      <c r="D12" s="47">
        <v>0.5</v>
      </c>
      <c r="E12" s="8">
        <f>D12*D1/1000</f>
        <v>0</v>
      </c>
      <c r="F12" s="77" t="s">
        <v>24</v>
      </c>
      <c r="G12" s="221"/>
      <c r="H12" s="221"/>
      <c r="I12" s="221"/>
      <c r="J12" s="221"/>
      <c r="K12" s="221">
        <f t="shared" si="0"/>
        <v>0</v>
      </c>
    </row>
    <row r="13" spans="1:11">
      <c r="A13" s="434"/>
      <c r="B13" s="434"/>
      <c r="C13" s="14" t="s">
        <v>506</v>
      </c>
      <c r="D13" s="47">
        <v>35</v>
      </c>
      <c r="E13" s="7">
        <f>D13*D1/1000</f>
        <v>0</v>
      </c>
      <c r="F13" s="75" t="s">
        <v>112</v>
      </c>
      <c r="G13" s="221">
        <f>D13/35</f>
        <v>1</v>
      </c>
      <c r="H13" s="221">
        <f>G13*7</f>
        <v>7</v>
      </c>
      <c r="I13" s="221"/>
      <c r="J13" s="221">
        <f>G13*5</f>
        <v>5</v>
      </c>
      <c r="K13" s="221">
        <f t="shared" si="0"/>
        <v>73</v>
      </c>
    </row>
    <row r="14" spans="1:11" s="173" customFormat="1">
      <c r="A14" s="434"/>
      <c r="B14" s="435"/>
      <c r="C14" s="14" t="s">
        <v>183</v>
      </c>
      <c r="D14" s="31">
        <v>2</v>
      </c>
      <c r="E14" s="7">
        <f>D14*D1/1000</f>
        <v>0</v>
      </c>
      <c r="F14" s="76" t="s">
        <v>110</v>
      </c>
      <c r="G14" s="229">
        <f>D14/5</f>
        <v>0.4</v>
      </c>
      <c r="H14" s="229">
        <f>0</f>
        <v>0</v>
      </c>
      <c r="I14" s="229">
        <f>G14*0</f>
        <v>0</v>
      </c>
      <c r="J14" s="229">
        <f>G14*5</f>
        <v>2</v>
      </c>
      <c r="K14" s="221">
        <f t="shared" ref="K14" si="1">H14*4+I14*4+J14*9</f>
        <v>18</v>
      </c>
    </row>
    <row r="15" spans="1:11">
      <c r="A15" s="434"/>
      <c r="B15" s="465" t="s">
        <v>513</v>
      </c>
      <c r="C15" s="13" t="s">
        <v>227</v>
      </c>
      <c r="D15" s="9">
        <v>25</v>
      </c>
      <c r="E15" s="7">
        <f>D15*D1/1000</f>
        <v>0</v>
      </c>
      <c r="F15" s="76" t="s">
        <v>81</v>
      </c>
      <c r="G15" s="225">
        <f>D15/100</f>
        <v>0.25</v>
      </c>
      <c r="H15" s="221">
        <f>1*G15</f>
        <v>0.25</v>
      </c>
      <c r="I15" s="221">
        <f>G15*5</f>
        <v>1.25</v>
      </c>
      <c r="J15" s="221">
        <f>0</f>
        <v>0</v>
      </c>
      <c r="K15" s="221">
        <f t="shared" si="0"/>
        <v>6</v>
      </c>
    </row>
    <row r="16" spans="1:11">
      <c r="A16" s="434"/>
      <c r="B16" s="463"/>
      <c r="C16" s="14" t="s">
        <v>225</v>
      </c>
      <c r="D16" s="31">
        <v>0.5</v>
      </c>
      <c r="E16" s="7">
        <f>D16*D1/1000</f>
        <v>0</v>
      </c>
      <c r="F16" s="76" t="s">
        <v>81</v>
      </c>
      <c r="G16" s="221"/>
      <c r="H16" s="221"/>
      <c r="I16" s="221"/>
      <c r="J16" s="221"/>
      <c r="K16" s="221">
        <f t="shared" si="0"/>
        <v>0</v>
      </c>
    </row>
    <row r="17" spans="1:11">
      <c r="A17" s="434"/>
      <c r="B17" s="463"/>
      <c r="C17" s="14" t="s">
        <v>512</v>
      </c>
      <c r="D17" s="31">
        <v>55</v>
      </c>
      <c r="E17" s="7">
        <f>D17*D1/1000</f>
        <v>0</v>
      </c>
      <c r="F17" s="76" t="s">
        <v>112</v>
      </c>
      <c r="G17" s="225">
        <f>D17/80</f>
        <v>0.6875</v>
      </c>
      <c r="H17" s="221">
        <f>G17*7</f>
        <v>4.8125</v>
      </c>
      <c r="I17" s="221"/>
      <c r="J17" s="221">
        <f>G17*5</f>
        <v>3.4375</v>
      </c>
      <c r="K17" s="221">
        <f t="shared" si="0"/>
        <v>50.1875</v>
      </c>
    </row>
    <row r="18" spans="1:11" s="182" customFormat="1">
      <c r="A18" s="434"/>
      <c r="B18" s="463"/>
      <c r="C18" s="14" t="s">
        <v>184</v>
      </c>
      <c r="D18" s="31">
        <v>25</v>
      </c>
      <c r="E18" s="7"/>
      <c r="F18" s="76" t="s">
        <v>112</v>
      </c>
      <c r="G18" s="225">
        <f>D18/80</f>
        <v>0.3125</v>
      </c>
      <c r="H18" s="221">
        <f>G18*7</f>
        <v>2.1875</v>
      </c>
      <c r="I18" s="221"/>
      <c r="J18" s="221">
        <f>G18*5</f>
        <v>1.5625</v>
      </c>
      <c r="K18" s="221">
        <f t="shared" ref="K18" si="2">H18*4+I18*4+J18*9</f>
        <v>22.8125</v>
      </c>
    </row>
    <row r="19" spans="1:11">
      <c r="A19" s="434"/>
      <c r="B19" s="463"/>
      <c r="C19" s="14" t="s">
        <v>183</v>
      </c>
      <c r="D19" s="31">
        <v>3</v>
      </c>
      <c r="E19" s="7">
        <f>D19*D1/1000</f>
        <v>0</v>
      </c>
      <c r="F19" s="76" t="s">
        <v>110</v>
      </c>
      <c r="G19" s="229">
        <f>D19/5</f>
        <v>0.6</v>
      </c>
      <c r="H19" s="229">
        <f>0</f>
        <v>0</v>
      </c>
      <c r="I19" s="229">
        <f>G19*0</f>
        <v>0</v>
      </c>
      <c r="J19" s="229">
        <f>G19*5</f>
        <v>3</v>
      </c>
      <c r="K19" s="221">
        <f t="shared" si="0"/>
        <v>27</v>
      </c>
    </row>
    <row r="20" spans="1:11">
      <c r="A20" s="434"/>
      <c r="B20" s="457" t="s">
        <v>682</v>
      </c>
      <c r="C20" s="14" t="s">
        <v>52</v>
      </c>
      <c r="D20" s="58">
        <v>0.5</v>
      </c>
      <c r="E20" s="7">
        <f>D20*D1/1000</f>
        <v>0</v>
      </c>
      <c r="F20" s="76"/>
      <c r="G20" s="225"/>
      <c r="H20" s="221"/>
      <c r="I20" s="221"/>
      <c r="J20" s="221"/>
      <c r="K20" s="221">
        <f t="shared" si="0"/>
        <v>0</v>
      </c>
    </row>
    <row r="21" spans="1:11">
      <c r="A21" s="434"/>
      <c r="B21" s="457"/>
      <c r="C21" s="14" t="s">
        <v>693</v>
      </c>
      <c r="D21" s="31">
        <v>40</v>
      </c>
      <c r="E21" s="7">
        <f>D21*D1/1000</f>
        <v>0</v>
      </c>
      <c r="F21" s="75" t="s">
        <v>81</v>
      </c>
      <c r="G21" s="221">
        <f>D21/100</f>
        <v>0.4</v>
      </c>
      <c r="H21" s="221">
        <f>1*G21</f>
        <v>0.4</v>
      </c>
      <c r="I21" s="221">
        <f>G21*5</f>
        <v>2</v>
      </c>
      <c r="J21" s="221">
        <f>0</f>
        <v>0</v>
      </c>
      <c r="K21" s="221">
        <f t="shared" si="0"/>
        <v>9.6</v>
      </c>
    </row>
    <row r="22" spans="1:11">
      <c r="A22" s="434"/>
      <c r="B22" s="452"/>
      <c r="C22" s="59" t="s">
        <v>183</v>
      </c>
      <c r="D22" s="60">
        <v>3</v>
      </c>
      <c r="E22" s="8">
        <f>D22*D1/1000</f>
        <v>0</v>
      </c>
      <c r="F22" s="75" t="s">
        <v>110</v>
      </c>
      <c r="G22" s="229">
        <f>D22/5</f>
        <v>0.6</v>
      </c>
      <c r="H22" s="229">
        <f>0</f>
        <v>0</v>
      </c>
      <c r="I22" s="229">
        <f>G22*0</f>
        <v>0</v>
      </c>
      <c r="J22" s="229">
        <f>G22*5</f>
        <v>3</v>
      </c>
      <c r="K22" s="221">
        <f t="shared" si="0"/>
        <v>27</v>
      </c>
    </row>
    <row r="23" spans="1:11">
      <c r="A23" s="434"/>
      <c r="B23" s="458" t="s">
        <v>161</v>
      </c>
      <c r="C23" s="61" t="s">
        <v>96</v>
      </c>
      <c r="D23" s="60">
        <v>15</v>
      </c>
      <c r="E23" s="7">
        <f>D23*D1/1000</f>
        <v>0</v>
      </c>
      <c r="F23" s="75" t="s">
        <v>81</v>
      </c>
      <c r="G23" s="221">
        <f>D23/100</f>
        <v>0.15</v>
      </c>
      <c r="H23" s="221">
        <f>1*G23</f>
        <v>0.15</v>
      </c>
      <c r="I23" s="221">
        <f>G23*5</f>
        <v>0.75</v>
      </c>
      <c r="J23" s="221">
        <f>0</f>
        <v>0</v>
      </c>
      <c r="K23" s="221">
        <f t="shared" si="0"/>
        <v>3.6</v>
      </c>
    </row>
    <row r="24" spans="1:11">
      <c r="A24" s="434"/>
      <c r="B24" s="459"/>
      <c r="C24" s="61" t="s">
        <v>228</v>
      </c>
      <c r="D24" s="62">
        <v>0.5</v>
      </c>
      <c r="E24" s="7">
        <f>D24*D1/1000</f>
        <v>0</v>
      </c>
      <c r="F24" s="75"/>
      <c r="G24" s="221"/>
      <c r="H24" s="221"/>
      <c r="I24" s="221"/>
      <c r="J24" s="221"/>
      <c r="K24" s="221">
        <f t="shared" si="0"/>
        <v>0</v>
      </c>
    </row>
    <row r="25" spans="1:11">
      <c r="A25" s="434"/>
      <c r="B25" s="459"/>
      <c r="C25" s="61" t="s">
        <v>429</v>
      </c>
      <c r="D25" s="60">
        <v>15</v>
      </c>
      <c r="E25" s="7">
        <f>D25*D1/1000</f>
        <v>0</v>
      </c>
      <c r="F25" s="75" t="s">
        <v>81</v>
      </c>
      <c r="G25" s="221">
        <f t="shared" ref="G25:G29" si="3">D25/100</f>
        <v>0.15</v>
      </c>
      <c r="H25" s="221">
        <f t="shared" ref="H25:H29" si="4">1*G25</f>
        <v>0.15</v>
      </c>
      <c r="I25" s="221">
        <f t="shared" ref="I25:I29" si="5">G25*5</f>
        <v>0.75</v>
      </c>
      <c r="J25" s="221">
        <f>0</f>
        <v>0</v>
      </c>
      <c r="K25" s="221">
        <f t="shared" si="0"/>
        <v>3.6</v>
      </c>
    </row>
    <row r="26" spans="1:11">
      <c r="A26" s="435"/>
      <c r="B26" s="460"/>
      <c r="C26" s="61" t="s">
        <v>224</v>
      </c>
      <c r="D26" s="60">
        <v>3</v>
      </c>
      <c r="E26" s="8">
        <f>D26*D1/1000</f>
        <v>0</v>
      </c>
      <c r="F26" s="75" t="s">
        <v>81</v>
      </c>
      <c r="G26" s="221">
        <f t="shared" si="3"/>
        <v>0.03</v>
      </c>
      <c r="H26" s="221">
        <f t="shared" si="4"/>
        <v>0.03</v>
      </c>
      <c r="I26" s="221">
        <f t="shared" si="5"/>
        <v>0.15</v>
      </c>
      <c r="J26" s="221">
        <f>0</f>
        <v>0</v>
      </c>
      <c r="K26" s="221">
        <f>H26*4+I26*4+J26*9</f>
        <v>0.72</v>
      </c>
    </row>
    <row r="27" spans="1:11">
      <c r="A27" s="440" t="s">
        <v>2</v>
      </c>
      <c r="B27" s="440" t="s">
        <v>636</v>
      </c>
      <c r="C27" s="49" t="s">
        <v>229</v>
      </c>
      <c r="D27" s="58">
        <v>5</v>
      </c>
      <c r="E27" s="7">
        <f>D27*D1/1000</f>
        <v>0</v>
      </c>
      <c r="F27" s="75" t="s">
        <v>81</v>
      </c>
      <c r="G27" s="221">
        <f t="shared" si="3"/>
        <v>0.05</v>
      </c>
      <c r="H27" s="221">
        <f t="shared" si="4"/>
        <v>0.05</v>
      </c>
      <c r="I27" s="221">
        <f t="shared" si="5"/>
        <v>0.25</v>
      </c>
      <c r="J27" s="221">
        <f>0</f>
        <v>0</v>
      </c>
      <c r="K27" s="221">
        <f>H27*4+I27*4+J27*9</f>
        <v>1.2</v>
      </c>
    </row>
    <row r="28" spans="1:11">
      <c r="A28" s="434"/>
      <c r="B28" s="434"/>
      <c r="C28" s="49" t="s">
        <v>36</v>
      </c>
      <c r="D28" s="58">
        <v>5</v>
      </c>
      <c r="E28" s="7">
        <f>D28*D1/1000</f>
        <v>0</v>
      </c>
      <c r="F28" s="75" t="s">
        <v>81</v>
      </c>
      <c r="G28" s="221">
        <f t="shared" si="3"/>
        <v>0.05</v>
      </c>
      <c r="H28" s="221">
        <f t="shared" si="4"/>
        <v>0.05</v>
      </c>
      <c r="I28" s="221">
        <f t="shared" si="5"/>
        <v>0.25</v>
      </c>
      <c r="J28" s="221">
        <f>0</f>
        <v>0</v>
      </c>
      <c r="K28" s="221">
        <f>H28*4+I28*4+J28*9</f>
        <v>1.2</v>
      </c>
    </row>
    <row r="29" spans="1:11">
      <c r="A29" s="434"/>
      <c r="B29" s="434"/>
      <c r="C29" s="49" t="s">
        <v>230</v>
      </c>
      <c r="D29" s="58">
        <v>5</v>
      </c>
      <c r="E29" s="8">
        <f>D29*D1/1000</f>
        <v>0</v>
      </c>
      <c r="F29" s="75" t="s">
        <v>81</v>
      </c>
      <c r="G29" s="221">
        <f t="shared" si="3"/>
        <v>0.05</v>
      </c>
      <c r="H29" s="221">
        <f t="shared" si="4"/>
        <v>0.05</v>
      </c>
      <c r="I29" s="221">
        <f t="shared" si="5"/>
        <v>0.25</v>
      </c>
      <c r="J29" s="221">
        <f>0</f>
        <v>0</v>
      </c>
      <c r="K29" s="221">
        <f>H29*4+I29*4+J29*9</f>
        <v>1.2</v>
      </c>
    </row>
    <row r="30" spans="1:11">
      <c r="A30" s="434"/>
      <c r="B30" s="434"/>
      <c r="C30" s="49" t="s">
        <v>231</v>
      </c>
      <c r="D30" s="58">
        <v>5</v>
      </c>
      <c r="E30" s="7">
        <f>D30*D1/1000</f>
        <v>0</v>
      </c>
      <c r="F30" s="175" t="s">
        <v>498</v>
      </c>
      <c r="G30" s="221">
        <f>D30/20</f>
        <v>0.25</v>
      </c>
      <c r="H30" s="221"/>
      <c r="I30" s="221">
        <f>G30*15</f>
        <v>3.75</v>
      </c>
      <c r="J30" s="221">
        <f>0</f>
        <v>0</v>
      </c>
      <c r="K30" s="221">
        <f>H30*4+I30*4+J30*9</f>
        <v>15</v>
      </c>
    </row>
    <row r="31" spans="1:11">
      <c r="A31" s="434"/>
      <c r="B31" s="434"/>
      <c r="C31" s="49" t="s">
        <v>232</v>
      </c>
      <c r="D31" s="9" t="s">
        <v>233</v>
      </c>
      <c r="E31" s="7"/>
      <c r="F31" s="77" t="s">
        <v>24</v>
      </c>
      <c r="G31" s="221"/>
      <c r="H31" s="221"/>
      <c r="I31" s="221"/>
      <c r="J31" s="221"/>
      <c r="K31" s="221">
        <f t="shared" si="0"/>
        <v>0</v>
      </c>
    </row>
    <row r="32" spans="1:11">
      <c r="A32" s="434"/>
      <c r="B32" s="435"/>
      <c r="C32" s="49" t="s">
        <v>234</v>
      </c>
      <c r="D32" s="58">
        <v>5</v>
      </c>
      <c r="E32" s="8"/>
      <c r="F32" s="77" t="s">
        <v>24</v>
      </c>
      <c r="G32" s="221">
        <f>D32/13</f>
        <v>0.38461538461538464</v>
      </c>
      <c r="H32" s="229">
        <f>0</f>
        <v>0</v>
      </c>
      <c r="I32" s="229">
        <f>G32*0</f>
        <v>0</v>
      </c>
      <c r="J32" s="229">
        <f>G32*5</f>
        <v>1.9230769230769231</v>
      </c>
      <c r="K32" s="221">
        <f t="shared" si="0"/>
        <v>17.307692307692307</v>
      </c>
    </row>
    <row r="33" spans="1:11">
      <c r="A33" s="435"/>
      <c r="B33" s="174" t="s">
        <v>637</v>
      </c>
      <c r="C33" s="29"/>
      <c r="D33" s="176"/>
      <c r="E33" s="8"/>
      <c r="F33" s="175" t="s">
        <v>8</v>
      </c>
      <c r="G33" s="221">
        <v>1</v>
      </c>
      <c r="H33" s="221">
        <f>G33*0</f>
        <v>0</v>
      </c>
      <c r="I33" s="221">
        <f>G33*15</f>
        <v>15</v>
      </c>
      <c r="J33" s="221">
        <f>G33*0</f>
        <v>0</v>
      </c>
      <c r="K33" s="221">
        <f t="shared" si="0"/>
        <v>60</v>
      </c>
    </row>
    <row r="34" spans="1:11" ht="19.5">
      <c r="A34" s="475" t="s">
        <v>499</v>
      </c>
      <c r="B34" s="475"/>
      <c r="C34" s="29"/>
      <c r="D34" s="176"/>
      <c r="E34" s="174"/>
      <c r="F34" s="175"/>
      <c r="G34" s="175"/>
      <c r="H34" s="211">
        <f>SUM(H3:H33)</f>
        <v>26.13</v>
      </c>
      <c r="I34" s="211">
        <f>SUM(I3:I33)</f>
        <v>92.9</v>
      </c>
      <c r="J34" s="211">
        <f>SUM(J3:J33)</f>
        <v>21.923076923076923</v>
      </c>
      <c r="K34" s="211">
        <f>SUM(K3:K33)</f>
        <v>673.4276923076925</v>
      </c>
    </row>
    <row r="35" spans="1:11" ht="19.5">
      <c r="A35" s="461" t="s">
        <v>537</v>
      </c>
      <c r="B35" s="462"/>
      <c r="C35" s="261"/>
      <c r="D35" s="261"/>
      <c r="E35" s="261"/>
      <c r="F35" s="262"/>
      <c r="G35" s="262"/>
      <c r="H35" s="258">
        <f>+H34*4/K34</f>
        <v>0.15520597265882005</v>
      </c>
      <c r="I35" s="257">
        <f>+I34*4/K34</f>
        <v>0.55180385993128145</v>
      </c>
      <c r="J35" s="257">
        <f>+J34*9/K34</f>
        <v>0.29299016740989831</v>
      </c>
      <c r="K35" s="257">
        <f>+H35+I35+J35</f>
        <v>0.99999999999999978</v>
      </c>
    </row>
  </sheetData>
  <mergeCells count="13">
    <mergeCell ref="A35:B35"/>
    <mergeCell ref="B3:B6"/>
    <mergeCell ref="F1:K1"/>
    <mergeCell ref="B15:B19"/>
    <mergeCell ref="A3:A7"/>
    <mergeCell ref="A8:A26"/>
    <mergeCell ref="A1:B1"/>
    <mergeCell ref="A34:B34"/>
    <mergeCell ref="B9:B14"/>
    <mergeCell ref="A27:A33"/>
    <mergeCell ref="B27:B32"/>
    <mergeCell ref="B23:B26"/>
    <mergeCell ref="B20:B2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70" zoomScaleNormal="70" workbookViewId="0">
      <selection activeCell="C26" sqref="C26"/>
    </sheetView>
  </sheetViews>
  <sheetFormatPr defaultRowHeight="16.5"/>
  <cols>
    <col min="1" max="1" width="5.5" customWidth="1"/>
    <col min="2" max="2" width="16.75" customWidth="1"/>
    <col min="3" max="3" width="12.25" customWidth="1"/>
    <col min="4" max="4" width="6.375" customWidth="1"/>
    <col min="5" max="5" width="9.375" customWidth="1"/>
    <col min="6" max="6" width="5.5" style="80" customWidth="1"/>
    <col min="7" max="7" width="7.5" style="80" customWidth="1"/>
    <col min="8" max="8" width="10.375" style="80" customWidth="1"/>
    <col min="9" max="9" width="11.125" style="80" bestFit="1" customWidth="1"/>
    <col min="10" max="10" width="7.5" style="80" customWidth="1"/>
    <col min="11" max="11" width="8.375" style="80" customWidth="1"/>
  </cols>
  <sheetData>
    <row r="1" spans="1:11" ht="39.950000000000003" customHeight="1">
      <c r="A1" s="444" t="s">
        <v>186</v>
      </c>
      <c r="B1" s="444"/>
      <c r="C1" s="169" t="s">
        <v>187</v>
      </c>
      <c r="D1" s="128"/>
      <c r="E1" s="170" t="s">
        <v>188</v>
      </c>
      <c r="F1" s="451" t="s">
        <v>150</v>
      </c>
      <c r="G1" s="451"/>
      <c r="H1" s="451"/>
      <c r="I1" s="451"/>
      <c r="J1" s="451"/>
      <c r="K1" s="451"/>
    </row>
    <row r="2" spans="1:11">
      <c r="A2" s="45" t="s">
        <v>327</v>
      </c>
      <c r="B2" s="43" t="s">
        <v>17</v>
      </c>
      <c r="C2" s="24" t="s">
        <v>18</v>
      </c>
      <c r="D2" s="46" t="s">
        <v>20</v>
      </c>
      <c r="E2" s="28" t="s">
        <v>131</v>
      </c>
      <c r="F2" s="82" t="s">
        <v>130</v>
      </c>
      <c r="G2" s="82" t="s">
        <v>132</v>
      </c>
      <c r="H2" s="82" t="s">
        <v>303</v>
      </c>
      <c r="I2" s="75" t="s">
        <v>304</v>
      </c>
      <c r="J2" s="75" t="s">
        <v>305</v>
      </c>
      <c r="K2" s="75" t="s">
        <v>306</v>
      </c>
    </row>
    <row r="3" spans="1:11">
      <c r="A3" s="438" t="s">
        <v>0</v>
      </c>
      <c r="B3" s="484" t="s">
        <v>514</v>
      </c>
      <c r="C3" s="53" t="s">
        <v>237</v>
      </c>
      <c r="D3" s="54" t="s">
        <v>46</v>
      </c>
      <c r="E3" s="7"/>
      <c r="F3" s="97" t="s">
        <v>75</v>
      </c>
      <c r="G3" s="230">
        <v>0.5</v>
      </c>
      <c r="H3" s="230">
        <f>G3*8</f>
        <v>4</v>
      </c>
      <c r="I3" s="221">
        <f>G3*12</f>
        <v>6</v>
      </c>
      <c r="J3" s="221">
        <f>G3*4</f>
        <v>2</v>
      </c>
      <c r="K3" s="221">
        <f t="shared" ref="K3:K34" si="0">H3*4+I3*4+J3*9</f>
        <v>58</v>
      </c>
    </row>
    <row r="4" spans="1:11">
      <c r="A4" s="439"/>
      <c r="B4" s="485"/>
      <c r="C4" s="53" t="s">
        <v>219</v>
      </c>
      <c r="D4" s="54" t="s">
        <v>238</v>
      </c>
      <c r="E4" s="7"/>
      <c r="F4" s="98" t="s">
        <v>88</v>
      </c>
      <c r="G4" s="230">
        <v>0.5</v>
      </c>
      <c r="H4" s="221">
        <f>G4*2</f>
        <v>1</v>
      </c>
      <c r="I4" s="221">
        <f>G4*15</f>
        <v>7.5</v>
      </c>
      <c r="J4" s="221">
        <f>G4*0</f>
        <v>0</v>
      </c>
      <c r="K4" s="221">
        <f t="shared" si="0"/>
        <v>34</v>
      </c>
    </row>
    <row r="5" spans="1:11" s="173" customFormat="1">
      <c r="A5" s="439"/>
      <c r="B5" s="486"/>
      <c r="C5" s="19" t="s">
        <v>459</v>
      </c>
      <c r="D5" s="64">
        <v>50</v>
      </c>
      <c r="E5" s="180">
        <f>D5*D1/1000</f>
        <v>0</v>
      </c>
      <c r="F5" s="82" t="s">
        <v>498</v>
      </c>
      <c r="G5" s="230">
        <f>D5/105</f>
        <v>0.47619047619047616</v>
      </c>
      <c r="H5" s="221"/>
      <c r="I5" s="221">
        <f>G5*15</f>
        <v>7.1428571428571423</v>
      </c>
      <c r="J5" s="221"/>
      <c r="K5" s="221">
        <f t="shared" si="0"/>
        <v>28.571428571428569</v>
      </c>
    </row>
    <row r="6" spans="1:11">
      <c r="A6" s="439"/>
      <c r="B6" s="482" t="s">
        <v>515</v>
      </c>
      <c r="C6" s="216" t="s">
        <v>515</v>
      </c>
      <c r="D6" s="46">
        <v>100</v>
      </c>
      <c r="E6" s="180">
        <f>D6*D1/1000</f>
        <v>0</v>
      </c>
      <c r="F6" s="46" t="s">
        <v>151</v>
      </c>
      <c r="G6" s="217">
        <f>D6/190</f>
        <v>0.52631578947368418</v>
      </c>
      <c r="H6" s="223">
        <f>G6*7</f>
        <v>3.6842105263157894</v>
      </c>
      <c r="I6" s="277"/>
      <c r="J6" s="217">
        <f>G6*3</f>
        <v>1.5789473684210527</v>
      </c>
      <c r="K6" s="221">
        <f t="shared" si="0"/>
        <v>28.94736842105263</v>
      </c>
    </row>
    <row r="7" spans="1:11">
      <c r="A7" s="439"/>
      <c r="B7" s="482"/>
      <c r="C7" s="216" t="s">
        <v>504</v>
      </c>
      <c r="D7" s="46">
        <v>5</v>
      </c>
      <c r="E7" s="180">
        <f>D7*D1/1000</f>
        <v>0</v>
      </c>
      <c r="F7" s="46"/>
      <c r="G7" s="217"/>
      <c r="H7" s="223"/>
      <c r="I7" s="217">
        <f>D7</f>
        <v>5</v>
      </c>
      <c r="J7" s="277"/>
      <c r="K7" s="221">
        <f t="shared" si="0"/>
        <v>20</v>
      </c>
    </row>
    <row r="8" spans="1:11">
      <c r="A8" s="447" t="s">
        <v>1</v>
      </c>
      <c r="B8" s="482" t="s">
        <v>516</v>
      </c>
      <c r="C8" s="13" t="s">
        <v>28</v>
      </c>
      <c r="D8" s="47">
        <v>40</v>
      </c>
      <c r="E8" s="180">
        <f>D8*D1/1000</f>
        <v>0</v>
      </c>
      <c r="F8" s="90" t="s">
        <v>88</v>
      </c>
      <c r="G8" s="251">
        <f>D8/20</f>
        <v>2</v>
      </c>
      <c r="H8" s="221">
        <f>G8*2</f>
        <v>4</v>
      </c>
      <c r="I8" s="221">
        <f>G8*15</f>
        <v>30</v>
      </c>
      <c r="J8" s="221">
        <f>G8*0</f>
        <v>0</v>
      </c>
      <c r="K8" s="221">
        <f t="shared" ref="K8" si="1">H8*4+I8*4+J8*9</f>
        <v>136</v>
      </c>
    </row>
    <row r="9" spans="1:11">
      <c r="A9" s="447"/>
      <c r="B9" s="482"/>
      <c r="C9" s="216" t="s">
        <v>521</v>
      </c>
      <c r="D9" s="54" t="s">
        <v>522</v>
      </c>
      <c r="E9" s="7"/>
      <c r="F9" s="90"/>
      <c r="G9" s="251"/>
      <c r="H9" s="221"/>
      <c r="I9" s="221"/>
      <c r="J9" s="221"/>
      <c r="K9" s="221">
        <f t="shared" si="0"/>
        <v>0</v>
      </c>
    </row>
    <row r="10" spans="1:11">
      <c r="A10" s="447"/>
      <c r="B10" s="440" t="s">
        <v>517</v>
      </c>
      <c r="C10" s="216" t="s">
        <v>523</v>
      </c>
      <c r="D10" s="46">
        <v>25</v>
      </c>
      <c r="E10" s="180">
        <f>D10*D1/1000</f>
        <v>0</v>
      </c>
      <c r="F10" s="46" t="s">
        <v>112</v>
      </c>
      <c r="G10" s="217">
        <f>D10/35</f>
        <v>0.7142857142857143</v>
      </c>
      <c r="H10" s="223">
        <f>G10*7</f>
        <v>5</v>
      </c>
      <c r="I10" s="277"/>
      <c r="J10" s="217">
        <f>G10*3</f>
        <v>2.1428571428571428</v>
      </c>
      <c r="K10" s="221">
        <f t="shared" si="0"/>
        <v>39.285714285714285</v>
      </c>
    </row>
    <row r="11" spans="1:11">
      <c r="A11" s="447"/>
      <c r="B11" s="434"/>
      <c r="C11" s="216" t="s">
        <v>67</v>
      </c>
      <c r="D11" s="54">
        <v>20</v>
      </c>
      <c r="E11" s="180">
        <f>D11*D1/1000</f>
        <v>0</v>
      </c>
      <c r="F11" s="76" t="s">
        <v>81</v>
      </c>
      <c r="G11" s="225">
        <f>D11/100</f>
        <v>0.2</v>
      </c>
      <c r="H11" s="233">
        <f>1*G11</f>
        <v>0.2</v>
      </c>
      <c r="I11" s="221">
        <f>G11*5</f>
        <v>1</v>
      </c>
      <c r="J11" s="221">
        <f>0</f>
        <v>0</v>
      </c>
      <c r="K11" s="221">
        <f t="shared" si="0"/>
        <v>4.8</v>
      </c>
    </row>
    <row r="12" spans="1:11">
      <c r="A12" s="447"/>
      <c r="B12" s="434"/>
      <c r="C12" s="227" t="s">
        <v>224</v>
      </c>
      <c r="D12" s="54">
        <v>5</v>
      </c>
      <c r="E12" s="180">
        <f>D12*D1/1000</f>
        <v>0</v>
      </c>
      <c r="F12" s="76" t="s">
        <v>81</v>
      </c>
      <c r="G12" s="225">
        <f>D12/100</f>
        <v>0.05</v>
      </c>
      <c r="H12" s="233">
        <f>1*G12</f>
        <v>0.05</v>
      </c>
      <c r="I12" s="221">
        <f>G12*5</f>
        <v>0.25</v>
      </c>
      <c r="J12" s="221">
        <f>0</f>
        <v>0</v>
      </c>
      <c r="K12" s="221">
        <f t="shared" si="0"/>
        <v>1.2</v>
      </c>
    </row>
    <row r="13" spans="1:11" s="173" customFormat="1">
      <c r="A13" s="447"/>
      <c r="B13" s="434"/>
      <c r="C13" s="216" t="s">
        <v>34</v>
      </c>
      <c r="D13" s="54" t="s">
        <v>522</v>
      </c>
      <c r="E13" s="180"/>
      <c r="F13" s="46"/>
      <c r="G13" s="217"/>
      <c r="H13" s="223"/>
      <c r="I13" s="217"/>
      <c r="J13" s="217"/>
      <c r="K13" s="221">
        <f t="shared" si="0"/>
        <v>0</v>
      </c>
    </row>
    <row r="14" spans="1:11" s="173" customFormat="1">
      <c r="A14" s="447"/>
      <c r="B14" s="434"/>
      <c r="C14" s="59" t="s">
        <v>183</v>
      </c>
      <c r="D14" s="46">
        <v>2</v>
      </c>
      <c r="E14" s="180">
        <f t="shared" ref="E14:E15" si="2">D14*D6/1000</f>
        <v>0.2</v>
      </c>
      <c r="F14" s="46" t="s">
        <v>110</v>
      </c>
      <c r="G14" s="217">
        <f>D14/5</f>
        <v>0.4</v>
      </c>
      <c r="H14" s="223"/>
      <c r="I14" s="228"/>
      <c r="J14" s="217">
        <f>G14*5</f>
        <v>2</v>
      </c>
      <c r="K14" s="221">
        <f t="shared" si="0"/>
        <v>18</v>
      </c>
    </row>
    <row r="15" spans="1:11" s="173" customFormat="1">
      <c r="A15" s="447"/>
      <c r="B15" s="434"/>
      <c r="C15" s="216" t="s">
        <v>77</v>
      </c>
      <c r="D15" s="46">
        <v>5</v>
      </c>
      <c r="E15" s="180">
        <f t="shared" si="2"/>
        <v>2.5000000000000001E-2</v>
      </c>
      <c r="F15" s="46" t="s">
        <v>77</v>
      </c>
      <c r="G15" s="217"/>
      <c r="H15" s="223"/>
      <c r="I15" s="217"/>
      <c r="J15" s="217">
        <f>D15</f>
        <v>5</v>
      </c>
      <c r="K15" s="221">
        <f t="shared" si="0"/>
        <v>45</v>
      </c>
    </row>
    <row r="16" spans="1:11" s="173" customFormat="1">
      <c r="A16" s="447"/>
      <c r="B16" s="434"/>
      <c r="C16" s="216" t="s">
        <v>524</v>
      </c>
      <c r="D16" s="54" t="s">
        <v>522</v>
      </c>
      <c r="E16" s="231"/>
      <c r="F16" s="46"/>
      <c r="G16" s="217"/>
      <c r="H16" s="223"/>
      <c r="I16" s="217"/>
      <c r="J16" s="217"/>
      <c r="K16" s="221">
        <f t="shared" si="0"/>
        <v>0</v>
      </c>
    </row>
    <row r="17" spans="1:11" s="173" customFormat="1">
      <c r="A17" s="447"/>
      <c r="B17" s="435"/>
      <c r="C17" s="216" t="s">
        <v>39</v>
      </c>
      <c r="D17" s="54" t="s">
        <v>522</v>
      </c>
      <c r="E17" s="231"/>
      <c r="F17" s="46"/>
      <c r="G17" s="217"/>
      <c r="H17" s="223"/>
      <c r="I17" s="217"/>
      <c r="J17" s="217"/>
      <c r="K17" s="221">
        <f t="shared" si="0"/>
        <v>0</v>
      </c>
    </row>
    <row r="18" spans="1:11">
      <c r="A18" s="447"/>
      <c r="B18" s="465" t="s">
        <v>538</v>
      </c>
      <c r="C18" s="216" t="s">
        <v>127</v>
      </c>
      <c r="D18" s="46">
        <v>20</v>
      </c>
      <c r="E18" s="180">
        <f>D18*D1/1000</f>
        <v>0</v>
      </c>
      <c r="F18" s="46" t="s">
        <v>88</v>
      </c>
      <c r="G18" s="217">
        <f>D18/85</f>
        <v>0.23529411764705882</v>
      </c>
      <c r="H18" s="223">
        <f>G18*2</f>
        <v>0.47058823529411764</v>
      </c>
      <c r="I18" s="217">
        <f>G18*15</f>
        <v>3.5294117647058822</v>
      </c>
      <c r="J18" s="277"/>
      <c r="K18" s="221">
        <f t="shared" si="0"/>
        <v>16</v>
      </c>
    </row>
    <row r="19" spans="1:11">
      <c r="A19" s="447"/>
      <c r="B19" s="463"/>
      <c r="C19" s="227" t="s">
        <v>184</v>
      </c>
      <c r="D19" s="46">
        <v>15</v>
      </c>
      <c r="E19" s="180">
        <f>D19*D1/1000</f>
        <v>0</v>
      </c>
      <c r="F19" s="46" t="s">
        <v>112</v>
      </c>
      <c r="G19" s="217">
        <f>D19/55</f>
        <v>0.27272727272727271</v>
      </c>
      <c r="H19" s="223">
        <f>G19*7</f>
        <v>1.9090909090909089</v>
      </c>
      <c r="I19" s="278"/>
      <c r="J19" s="217">
        <f>G19*5</f>
        <v>1.3636363636363635</v>
      </c>
      <c r="K19" s="221">
        <f t="shared" si="0"/>
        <v>19.909090909090907</v>
      </c>
    </row>
    <row r="20" spans="1:11">
      <c r="A20" s="447"/>
      <c r="B20" s="463"/>
      <c r="C20" s="59" t="s">
        <v>183</v>
      </c>
      <c r="D20" s="46">
        <v>2</v>
      </c>
      <c r="E20" s="180">
        <f>D20*D1/1000</f>
        <v>0</v>
      </c>
      <c r="F20" s="46" t="s">
        <v>110</v>
      </c>
      <c r="G20" s="217">
        <f>D20/5</f>
        <v>0.4</v>
      </c>
      <c r="H20" s="223"/>
      <c r="I20" s="277"/>
      <c r="J20" s="217">
        <f>G20*5</f>
        <v>2</v>
      </c>
      <c r="K20" s="221">
        <f t="shared" si="0"/>
        <v>18</v>
      </c>
    </row>
    <row r="21" spans="1:11">
      <c r="A21" s="447"/>
      <c r="B21" s="457" t="s">
        <v>704</v>
      </c>
      <c r="C21" s="14" t="s">
        <v>52</v>
      </c>
      <c r="D21" s="58">
        <v>0.5</v>
      </c>
      <c r="E21" s="8">
        <f>D21*D1/1000</f>
        <v>0</v>
      </c>
      <c r="F21" s="106" t="s">
        <v>24</v>
      </c>
      <c r="G21" s="225"/>
      <c r="H21" s="233"/>
      <c r="I21" s="221"/>
      <c r="J21" s="221"/>
      <c r="K21" s="221">
        <f t="shared" si="0"/>
        <v>0</v>
      </c>
    </row>
    <row r="22" spans="1:11">
      <c r="A22" s="447"/>
      <c r="B22" s="457"/>
      <c r="C22" s="216" t="s">
        <v>703</v>
      </c>
      <c r="D22" s="31">
        <v>40</v>
      </c>
      <c r="E22" s="7">
        <f>D22*D1/1000</f>
        <v>0</v>
      </c>
      <c r="F22" s="75" t="s">
        <v>81</v>
      </c>
      <c r="G22" s="221">
        <f>D22/100</f>
        <v>0.4</v>
      </c>
      <c r="H22" s="233">
        <f>1*G22</f>
        <v>0.4</v>
      </c>
      <c r="I22" s="221">
        <f>G22*5</f>
        <v>2</v>
      </c>
      <c r="J22" s="221">
        <f>0</f>
        <v>0</v>
      </c>
      <c r="K22" s="221">
        <f t="shared" si="0"/>
        <v>9.6</v>
      </c>
    </row>
    <row r="23" spans="1:11">
      <c r="A23" s="447"/>
      <c r="B23" s="452"/>
      <c r="C23" s="59" t="s">
        <v>183</v>
      </c>
      <c r="D23" s="60">
        <v>1</v>
      </c>
      <c r="E23" s="7">
        <f>D23*D1/1000</f>
        <v>0</v>
      </c>
      <c r="F23" s="79" t="s">
        <v>110</v>
      </c>
      <c r="G23" s="229">
        <f>D23/5</f>
        <v>0.2</v>
      </c>
      <c r="H23" s="279">
        <f>0</f>
        <v>0</v>
      </c>
      <c r="I23" s="229">
        <f>G23*0</f>
        <v>0</v>
      </c>
      <c r="J23" s="229">
        <f>G23*5</f>
        <v>1</v>
      </c>
      <c r="K23" s="221">
        <f t="shared" si="0"/>
        <v>9</v>
      </c>
    </row>
    <row r="24" spans="1:11">
      <c r="A24" s="447"/>
      <c r="B24" s="458" t="s">
        <v>838</v>
      </c>
      <c r="C24" s="61" t="s">
        <v>114</v>
      </c>
      <c r="D24" s="60">
        <v>30</v>
      </c>
      <c r="E24" s="7">
        <f>D24*D1/1000</f>
        <v>0</v>
      </c>
      <c r="F24" s="86" t="s">
        <v>81</v>
      </c>
      <c r="G24" s="221">
        <f>D24/100</f>
        <v>0.3</v>
      </c>
      <c r="H24" s="233">
        <f>1*G24</f>
        <v>0.3</v>
      </c>
      <c r="I24" s="221">
        <f>G24*5</f>
        <v>1.5</v>
      </c>
      <c r="J24" s="221">
        <f>0</f>
        <v>0</v>
      </c>
      <c r="K24" s="221">
        <f t="shared" si="0"/>
        <v>7.2</v>
      </c>
    </row>
    <row r="25" spans="1:11">
      <c r="A25" s="447"/>
      <c r="B25" s="459"/>
      <c r="C25" s="227" t="s">
        <v>840</v>
      </c>
      <c r="D25" s="46">
        <v>10</v>
      </c>
      <c r="E25" s="7">
        <f>D25*D1/1000</f>
        <v>0</v>
      </c>
      <c r="F25" s="46" t="s">
        <v>112</v>
      </c>
      <c r="G25" s="217">
        <f>D25/35</f>
        <v>0.2857142857142857</v>
      </c>
      <c r="H25" s="223">
        <f>G25*7</f>
        <v>2</v>
      </c>
      <c r="I25" s="277"/>
      <c r="J25" s="217">
        <f>G25*5</f>
        <v>1.4285714285714284</v>
      </c>
      <c r="K25" s="221">
        <f t="shared" si="0"/>
        <v>20.857142857142854</v>
      </c>
    </row>
    <row r="26" spans="1:11">
      <c r="A26" s="447"/>
      <c r="B26" s="459"/>
      <c r="C26" s="216" t="s">
        <v>23</v>
      </c>
      <c r="D26" s="232"/>
      <c r="E26" s="7">
        <f>D26*D1/1000</f>
        <v>0</v>
      </c>
      <c r="F26" s="46"/>
      <c r="G26" s="217"/>
      <c r="H26" s="223"/>
      <c r="I26" s="217"/>
      <c r="J26" s="217"/>
      <c r="K26" s="221">
        <f t="shared" si="0"/>
        <v>0</v>
      </c>
    </row>
    <row r="27" spans="1:11">
      <c r="A27" s="447"/>
      <c r="B27" s="459"/>
      <c r="C27" s="61" t="s">
        <v>59</v>
      </c>
      <c r="D27" s="62">
        <v>1</v>
      </c>
      <c r="E27" s="7">
        <f>D27*D1/1000</f>
        <v>0</v>
      </c>
      <c r="F27" s="77" t="s">
        <v>24</v>
      </c>
      <c r="G27" s="221"/>
      <c r="H27" s="233"/>
      <c r="I27" s="221"/>
      <c r="J27" s="221"/>
      <c r="K27" s="221">
        <f t="shared" si="0"/>
        <v>0</v>
      </c>
    </row>
    <row r="28" spans="1:11">
      <c r="A28" s="447" t="s">
        <v>2</v>
      </c>
      <c r="B28" s="440" t="s">
        <v>519</v>
      </c>
      <c r="C28" s="216" t="s">
        <v>525</v>
      </c>
      <c r="D28" s="46">
        <v>25</v>
      </c>
      <c r="E28" s="7">
        <f>D28*D1/1000</f>
        <v>0</v>
      </c>
      <c r="F28" s="46" t="s">
        <v>88</v>
      </c>
      <c r="G28" s="217">
        <f>D28/20</f>
        <v>1.25</v>
      </c>
      <c r="H28" s="223">
        <f>G28*2</f>
        <v>2.5</v>
      </c>
      <c r="I28" s="217">
        <f>G28*15</f>
        <v>18.75</v>
      </c>
      <c r="J28" s="278"/>
      <c r="K28" s="221">
        <f t="shared" si="0"/>
        <v>85</v>
      </c>
    </row>
    <row r="29" spans="1:11">
      <c r="A29" s="447"/>
      <c r="B29" s="434"/>
      <c r="C29" s="227" t="s">
        <v>526</v>
      </c>
      <c r="D29" s="46">
        <v>15</v>
      </c>
      <c r="E29" s="7">
        <f>D29*D1/1000</f>
        <v>0</v>
      </c>
      <c r="F29" s="46" t="s">
        <v>88</v>
      </c>
      <c r="G29" s="217">
        <f>D29/55</f>
        <v>0.27272727272727271</v>
      </c>
      <c r="H29" s="223">
        <f>G29*2</f>
        <v>0.54545454545454541</v>
      </c>
      <c r="I29" s="217">
        <f>G29*15</f>
        <v>4.0909090909090908</v>
      </c>
      <c r="J29" s="278"/>
      <c r="K29" s="221">
        <f t="shared" si="0"/>
        <v>18.545454545454547</v>
      </c>
    </row>
    <row r="30" spans="1:11" s="173" customFormat="1">
      <c r="A30" s="447"/>
      <c r="B30" s="434"/>
      <c r="C30" s="227" t="s">
        <v>506</v>
      </c>
      <c r="D30" s="46">
        <v>3</v>
      </c>
      <c r="E30" s="7">
        <f>D30*D1/1000</f>
        <v>0</v>
      </c>
      <c r="F30" s="46" t="s">
        <v>112</v>
      </c>
      <c r="G30" s="217">
        <f>D30/35</f>
        <v>8.5714285714285715E-2</v>
      </c>
      <c r="H30" s="223">
        <f>G30*7</f>
        <v>0.6</v>
      </c>
      <c r="I30" s="280"/>
      <c r="J30" s="217">
        <f>G30*3</f>
        <v>0.25714285714285712</v>
      </c>
      <c r="K30" s="221">
        <f t="shared" si="0"/>
        <v>4.7142857142857135</v>
      </c>
    </row>
    <row r="31" spans="1:11" s="173" customFormat="1">
      <c r="A31" s="447"/>
      <c r="B31" s="435"/>
      <c r="C31" s="216" t="s">
        <v>61</v>
      </c>
      <c r="D31" s="46">
        <v>1</v>
      </c>
      <c r="E31" s="7">
        <f>D31*D1/1000</f>
        <v>0</v>
      </c>
      <c r="F31" s="46" t="s">
        <v>110</v>
      </c>
      <c r="G31" s="217">
        <f>D31/5</f>
        <v>0.2</v>
      </c>
      <c r="H31" s="223"/>
      <c r="I31" s="280"/>
      <c r="J31" s="217">
        <f>G31*5</f>
        <v>1</v>
      </c>
      <c r="K31" s="221">
        <f t="shared" si="0"/>
        <v>9</v>
      </c>
    </row>
    <row r="32" spans="1:11">
      <c r="A32" s="447"/>
      <c r="B32" s="440" t="s">
        <v>520</v>
      </c>
      <c r="C32" s="49" t="s">
        <v>129</v>
      </c>
      <c r="D32" s="9">
        <v>120</v>
      </c>
      <c r="E32" s="7"/>
      <c r="F32" s="75" t="s">
        <v>75</v>
      </c>
      <c r="G32" s="221">
        <v>0.5</v>
      </c>
      <c r="H32" s="221">
        <f>G32*8</f>
        <v>4</v>
      </c>
      <c r="I32" s="221">
        <f>G32*12</f>
        <v>6</v>
      </c>
      <c r="J32" s="221">
        <f>G32*4</f>
        <v>2</v>
      </c>
      <c r="K32" s="221">
        <f t="shared" si="0"/>
        <v>58</v>
      </c>
    </row>
    <row r="33" spans="1:11">
      <c r="A33" s="447"/>
      <c r="B33" s="435"/>
      <c r="C33" s="14" t="s">
        <v>205</v>
      </c>
      <c r="D33" s="6">
        <v>60</v>
      </c>
      <c r="E33" s="7"/>
      <c r="F33" s="75" t="s">
        <v>8</v>
      </c>
      <c r="G33" s="221">
        <f>D33/130</f>
        <v>0.46153846153846156</v>
      </c>
      <c r="H33" s="221">
        <f>G33*0</f>
        <v>0</v>
      </c>
      <c r="I33" s="221">
        <f>G33*15</f>
        <v>6.9230769230769234</v>
      </c>
      <c r="J33" s="221">
        <f>G33*0</f>
        <v>0</v>
      </c>
      <c r="K33" s="221">
        <f t="shared" si="0"/>
        <v>27.692307692307693</v>
      </c>
    </row>
    <row r="34" spans="1:11" ht="19.5">
      <c r="A34" s="475" t="s">
        <v>499</v>
      </c>
      <c r="B34" s="475"/>
      <c r="C34" s="29"/>
      <c r="D34" s="176"/>
      <c r="E34" s="174"/>
      <c r="F34" s="175"/>
      <c r="G34" s="175"/>
      <c r="H34" s="211">
        <f>SUM(H3:H33)</f>
        <v>30.659344216155361</v>
      </c>
      <c r="I34" s="211">
        <f>SUM(I3:I33)</f>
        <v>99.686254921549036</v>
      </c>
      <c r="J34" s="211">
        <f>SUM(J3:J33)</f>
        <v>21.771155160628844</v>
      </c>
      <c r="K34" s="211">
        <f t="shared" si="0"/>
        <v>717.32279299647712</v>
      </c>
    </row>
    <row r="35" spans="1:11" ht="19.5">
      <c r="A35" s="461" t="s">
        <v>537</v>
      </c>
      <c r="B35" s="462"/>
      <c r="C35" s="261"/>
      <c r="D35" s="261"/>
      <c r="E35" s="261"/>
      <c r="F35" s="262"/>
      <c r="G35" s="262"/>
      <c r="H35" s="258">
        <f>+H34*4/K34</f>
        <v>0.17096539809132169</v>
      </c>
      <c r="I35" s="257">
        <f>+I34*4/K34</f>
        <v>0.55587947794118742</v>
      </c>
      <c r="J35" s="257">
        <f>+J34*9/K34</f>
        <v>0.27315512396749098</v>
      </c>
      <c r="K35" s="257">
        <f>+H35+I35+J35</f>
        <v>1</v>
      </c>
    </row>
  </sheetData>
  <mergeCells count="16">
    <mergeCell ref="A35:B35"/>
    <mergeCell ref="A1:B1"/>
    <mergeCell ref="F1:K1"/>
    <mergeCell ref="B21:B23"/>
    <mergeCell ref="B6:B7"/>
    <mergeCell ref="B8:B9"/>
    <mergeCell ref="B18:B20"/>
    <mergeCell ref="A3:A7"/>
    <mergeCell ref="A34:B34"/>
    <mergeCell ref="B3:B5"/>
    <mergeCell ref="B10:B17"/>
    <mergeCell ref="B28:B31"/>
    <mergeCell ref="B32:B33"/>
    <mergeCell ref="A8:A27"/>
    <mergeCell ref="A28:A33"/>
    <mergeCell ref="B24:B27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已命名的範圍</vt:lpstr>
      </vt:variant>
      <vt:variant>
        <vt:i4>30</vt:i4>
      </vt:variant>
    </vt:vector>
  </HeadingPairs>
  <TitlesOfParts>
    <vt:vector size="62" baseType="lpstr">
      <vt:lpstr>使用說明</vt:lpstr>
      <vt:lpstr>菜單名稱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nt_domain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營養師</dc:creator>
  <cp:lastModifiedBy>林詩珊</cp:lastModifiedBy>
  <cp:lastPrinted>2021-11-03T08:52:26Z</cp:lastPrinted>
  <dcterms:created xsi:type="dcterms:W3CDTF">2004-11-23T03:38:09Z</dcterms:created>
  <dcterms:modified xsi:type="dcterms:W3CDTF">2021-11-03T08:52:29Z</dcterms:modified>
</cp:coreProperties>
</file>